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960" windowHeight="8385" activeTab="1"/>
  </bookViews>
  <sheets>
    <sheet name="приложение 2 " sheetId="2" r:id="rId1"/>
    <sheet name="приложение 2  (2026-2028)" sheetId="3" r:id="rId2"/>
  </sheets>
  <definedNames>
    <definedName name="_xlnm.Print_Titles" localSheetId="0">'приложение 2 '!$8:$8</definedName>
    <definedName name="_xlnm.Print_Titles" localSheetId="1">'приложение 2  (2026-2028)'!$5:$8</definedName>
    <definedName name="_xlnm.Print_Area" localSheetId="0">'приложение 2 '!$A$1:$N$55</definedName>
    <definedName name="_xlnm.Print_Area" localSheetId="1">'приложение 2  (2026-2028)'!$A$1:$N$45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" i="3"/>
  <c r="M9"/>
  <c r="D9"/>
  <c r="M36"/>
  <c r="I36"/>
  <c r="E36"/>
  <c r="K31" l="1"/>
  <c r="G31"/>
  <c r="C31"/>
  <c r="E35"/>
  <c r="F35"/>
  <c r="I35"/>
  <c r="I34" s="1"/>
  <c r="J35"/>
  <c r="M35"/>
  <c r="M34" s="1"/>
  <c r="N35"/>
  <c r="N34" s="1"/>
  <c r="J34"/>
  <c r="L36"/>
  <c r="L35" s="1"/>
  <c r="H36"/>
  <c r="G36" s="1"/>
  <c r="D36"/>
  <c r="D35" s="1"/>
  <c r="K36"/>
  <c r="M16"/>
  <c r="M15"/>
  <c r="I16"/>
  <c r="I15"/>
  <c r="D16"/>
  <c r="D15"/>
  <c r="E12"/>
  <c r="F12"/>
  <c r="H12"/>
  <c r="I12"/>
  <c r="J12"/>
  <c r="L12"/>
  <c r="M12"/>
  <c r="N12"/>
  <c r="D12"/>
  <c r="C36"/>
  <c r="H35" l="1"/>
  <c r="L33"/>
  <c r="H33"/>
  <c r="D33"/>
  <c r="D39"/>
  <c r="M33" l="1"/>
  <c r="I33"/>
  <c r="E33"/>
  <c r="L48"/>
  <c r="H48"/>
  <c r="D48"/>
  <c r="M21" l="1"/>
  <c r="M20" s="1"/>
  <c r="I21"/>
  <c r="I20" s="1"/>
  <c r="E21"/>
  <c r="E20" s="1"/>
  <c r="L21"/>
  <c r="L20" s="1"/>
  <c r="H21"/>
  <c r="D21"/>
  <c r="L16"/>
  <c r="H16"/>
  <c r="H15" s="1"/>
  <c r="E16"/>
  <c r="E15" s="1"/>
  <c r="L19"/>
  <c r="K19" s="1"/>
  <c r="H19"/>
  <c r="G19" s="1"/>
  <c r="D19"/>
  <c r="C19" s="1"/>
  <c r="K13"/>
  <c r="G13"/>
  <c r="C13"/>
  <c r="N15"/>
  <c r="J15"/>
  <c r="F15"/>
  <c r="C17"/>
  <c r="K17"/>
  <c r="K45"/>
  <c r="G45"/>
  <c r="C45"/>
  <c r="L44"/>
  <c r="K44" s="1"/>
  <c r="H44"/>
  <c r="G44" s="1"/>
  <c r="D44"/>
  <c r="C44" s="1"/>
  <c r="K43"/>
  <c r="G43"/>
  <c r="C43"/>
  <c r="K42"/>
  <c r="G42"/>
  <c r="C42"/>
  <c r="K41"/>
  <c r="G41"/>
  <c r="C41"/>
  <c r="N40"/>
  <c r="M40"/>
  <c r="L40"/>
  <c r="J40"/>
  <c r="I40"/>
  <c r="H40"/>
  <c r="F40"/>
  <c r="E40"/>
  <c r="D40"/>
  <c r="K39"/>
  <c r="G39"/>
  <c r="C39"/>
  <c r="L38"/>
  <c r="H38"/>
  <c r="F38"/>
  <c r="F34" s="1"/>
  <c r="E38"/>
  <c r="E34" s="1"/>
  <c r="D38"/>
  <c r="D34" s="1"/>
  <c r="M32"/>
  <c r="M28" s="1"/>
  <c r="M27" s="1"/>
  <c r="I32"/>
  <c r="I28" s="1"/>
  <c r="I27" s="1"/>
  <c r="E32"/>
  <c r="E28" s="1"/>
  <c r="E27" s="1"/>
  <c r="D32"/>
  <c r="K30"/>
  <c r="G30"/>
  <c r="C30"/>
  <c r="L29"/>
  <c r="H29"/>
  <c r="G29" s="1"/>
  <c r="D29"/>
  <c r="C29" s="1"/>
  <c r="K50"/>
  <c r="G50"/>
  <c r="C50"/>
  <c r="K49"/>
  <c r="G49"/>
  <c r="C49"/>
  <c r="K48"/>
  <c r="G48"/>
  <c r="C48"/>
  <c r="N47"/>
  <c r="N46" s="1"/>
  <c r="M47"/>
  <c r="M46" s="1"/>
  <c r="L47"/>
  <c r="L46" s="1"/>
  <c r="J47"/>
  <c r="J46" s="1"/>
  <c r="I47"/>
  <c r="I46" s="1"/>
  <c r="H47"/>
  <c r="H46" s="1"/>
  <c r="F47"/>
  <c r="F46" s="1"/>
  <c r="E47"/>
  <c r="E46" s="1"/>
  <c r="D47"/>
  <c r="D46" s="1"/>
  <c r="M25"/>
  <c r="M24" s="1"/>
  <c r="L25"/>
  <c r="L24" s="1"/>
  <c r="H25"/>
  <c r="E25"/>
  <c r="E24" s="1"/>
  <c r="D25"/>
  <c r="N25"/>
  <c r="N24" s="1"/>
  <c r="J25"/>
  <c r="J24" s="1"/>
  <c r="I25"/>
  <c r="I24" s="1"/>
  <c r="F25"/>
  <c r="F24" s="1"/>
  <c r="K23"/>
  <c r="G23"/>
  <c r="C23"/>
  <c r="K22"/>
  <c r="G22"/>
  <c r="C22"/>
  <c r="H20"/>
  <c r="N20"/>
  <c r="J20"/>
  <c r="F20"/>
  <c r="N18"/>
  <c r="M18"/>
  <c r="J18"/>
  <c r="I18"/>
  <c r="I11" s="1"/>
  <c r="F18"/>
  <c r="E18"/>
  <c r="K14"/>
  <c r="G14"/>
  <c r="C14"/>
  <c r="K43" i="2"/>
  <c r="M43"/>
  <c r="N43"/>
  <c r="L43"/>
  <c r="G43"/>
  <c r="I43"/>
  <c r="J43"/>
  <c r="H43"/>
  <c r="E9"/>
  <c r="F9"/>
  <c r="H9"/>
  <c r="I9"/>
  <c r="G9" s="1"/>
  <c r="J9"/>
  <c r="L9"/>
  <c r="M9"/>
  <c r="N9"/>
  <c r="K9" s="1"/>
  <c r="D9"/>
  <c r="K54"/>
  <c r="G54"/>
  <c r="C54"/>
  <c r="E54"/>
  <c r="F54"/>
  <c r="H54"/>
  <c r="I54"/>
  <c r="J54"/>
  <c r="L54"/>
  <c r="M54"/>
  <c r="N54"/>
  <c r="D54"/>
  <c r="M11" i="3" l="1"/>
  <c r="M10" s="1"/>
  <c r="C34"/>
  <c r="I10"/>
  <c r="I9" s="1"/>
  <c r="G38"/>
  <c r="H34"/>
  <c r="G34" s="1"/>
  <c r="K38"/>
  <c r="L34"/>
  <c r="K34" s="1"/>
  <c r="J11"/>
  <c r="J10" s="1"/>
  <c r="J9" s="1"/>
  <c r="K12"/>
  <c r="E11"/>
  <c r="E10" s="1"/>
  <c r="E9" s="1"/>
  <c r="F11"/>
  <c r="F10" s="1"/>
  <c r="F9" s="1"/>
  <c r="N11"/>
  <c r="N10" s="1"/>
  <c r="N9" s="1"/>
  <c r="G12"/>
  <c r="K16"/>
  <c r="L15"/>
  <c r="C16"/>
  <c r="D18"/>
  <c r="C18" s="1"/>
  <c r="L18"/>
  <c r="K18" s="1"/>
  <c r="C32"/>
  <c r="K37"/>
  <c r="K35" s="1"/>
  <c r="C40"/>
  <c r="K40"/>
  <c r="K24"/>
  <c r="C21"/>
  <c r="G33"/>
  <c r="D20"/>
  <c r="C20" s="1"/>
  <c r="K33"/>
  <c r="K25"/>
  <c r="C25"/>
  <c r="C26"/>
  <c r="H32"/>
  <c r="G32" s="1"/>
  <c r="G37"/>
  <c r="G35" s="1"/>
  <c r="K47"/>
  <c r="K46" s="1"/>
  <c r="C47"/>
  <c r="C46" s="1"/>
  <c r="G21"/>
  <c r="D24"/>
  <c r="C24" s="1"/>
  <c r="C35"/>
  <c r="K20"/>
  <c r="K21"/>
  <c r="C38"/>
  <c r="C15"/>
  <c r="G16"/>
  <c r="H18"/>
  <c r="G18" s="1"/>
  <c r="K26"/>
  <c r="G47"/>
  <c r="G46" s="1"/>
  <c r="C33"/>
  <c r="C37"/>
  <c r="G40"/>
  <c r="G25"/>
  <c r="H24"/>
  <c r="G24" s="1"/>
  <c r="G20"/>
  <c r="C12"/>
  <c r="G26"/>
  <c r="D28"/>
  <c r="K29"/>
  <c r="L32"/>
  <c r="K32" s="1"/>
  <c r="K53" i="2"/>
  <c r="L47"/>
  <c r="H47"/>
  <c r="D47"/>
  <c r="L50"/>
  <c r="K50" s="1"/>
  <c r="H50"/>
  <c r="D50"/>
  <c r="C50" s="1"/>
  <c r="G50"/>
  <c r="E43"/>
  <c r="F43"/>
  <c r="D43"/>
  <c r="K46"/>
  <c r="G46"/>
  <c r="C46"/>
  <c r="L40"/>
  <c r="H40"/>
  <c r="K42"/>
  <c r="G42"/>
  <c r="C42"/>
  <c r="M39"/>
  <c r="L39"/>
  <c r="I39"/>
  <c r="H39"/>
  <c r="H38" s="1"/>
  <c r="H37" s="1"/>
  <c r="E39"/>
  <c r="D39"/>
  <c r="M36"/>
  <c r="L36"/>
  <c r="I36"/>
  <c r="H36"/>
  <c r="E36"/>
  <c r="D36"/>
  <c r="L15"/>
  <c r="M15"/>
  <c r="I15"/>
  <c r="L11" i="3" l="1"/>
  <c r="L10" s="1"/>
  <c r="H11"/>
  <c r="H10" s="1"/>
  <c r="H9" s="1"/>
  <c r="H28"/>
  <c r="G28" s="1"/>
  <c r="D11"/>
  <c r="D10" s="1"/>
  <c r="K15"/>
  <c r="K11" s="1"/>
  <c r="K10" s="1"/>
  <c r="K9" s="1"/>
  <c r="L28"/>
  <c r="K28" s="1"/>
  <c r="G15"/>
  <c r="G11" s="1"/>
  <c r="G10" s="1"/>
  <c r="G9" s="1"/>
  <c r="C28"/>
  <c r="D27"/>
  <c r="C27" s="1"/>
  <c r="L29" i="2"/>
  <c r="H29"/>
  <c r="H27" s="1"/>
  <c r="D29"/>
  <c r="L19"/>
  <c r="H19"/>
  <c r="D19"/>
  <c r="E27"/>
  <c r="F27"/>
  <c r="I27"/>
  <c r="J27"/>
  <c r="L27"/>
  <c r="M27"/>
  <c r="N27"/>
  <c r="D27"/>
  <c r="K30"/>
  <c r="G30"/>
  <c r="C30"/>
  <c r="H27" i="3" l="1"/>
  <c r="G27" s="1"/>
  <c r="C11"/>
  <c r="C10"/>
  <c r="L27"/>
  <c r="K27" s="1"/>
  <c r="G27" i="2"/>
  <c r="K27"/>
  <c r="C9" i="3" l="1"/>
  <c r="E17" i="2"/>
  <c r="D17"/>
  <c r="D15"/>
  <c r="M26"/>
  <c r="L26"/>
  <c r="I26"/>
  <c r="H26"/>
  <c r="E26"/>
  <c r="D26"/>
  <c r="M21"/>
  <c r="L21"/>
  <c r="I21"/>
  <c r="H21"/>
  <c r="E21"/>
  <c r="D21"/>
  <c r="F14" l="1"/>
  <c r="I14"/>
  <c r="J14"/>
  <c r="L14"/>
  <c r="M14"/>
  <c r="N14"/>
  <c r="K17"/>
  <c r="G17"/>
  <c r="D14"/>
  <c r="C17"/>
  <c r="H15"/>
  <c r="H14" s="1"/>
  <c r="E15"/>
  <c r="E14" s="1"/>
  <c r="G14" l="1"/>
  <c r="K14"/>
  <c r="F38" l="1"/>
  <c r="D38"/>
  <c r="K55"/>
  <c r="G55"/>
  <c r="C55"/>
  <c r="K51"/>
  <c r="G51"/>
  <c r="C51"/>
  <c r="N38"/>
  <c r="E38"/>
  <c r="K26" l="1"/>
  <c r="G26"/>
  <c r="C26"/>
  <c r="K23"/>
  <c r="G23"/>
  <c r="C23"/>
  <c r="K22"/>
  <c r="G22"/>
  <c r="C22"/>
  <c r="K21"/>
  <c r="G21"/>
  <c r="C21"/>
  <c r="K19"/>
  <c r="G19"/>
  <c r="C19"/>
  <c r="K16"/>
  <c r="G16"/>
  <c r="C16"/>
  <c r="K15"/>
  <c r="G15"/>
  <c r="C15"/>
  <c r="K13"/>
  <c r="G13"/>
  <c r="C13"/>
  <c r="C45" l="1"/>
  <c r="G45"/>
  <c r="K45"/>
  <c r="C43" l="1"/>
  <c r="K48"/>
  <c r="G48"/>
  <c r="C48"/>
  <c r="C41"/>
  <c r="F40"/>
  <c r="F37" s="1"/>
  <c r="K41"/>
  <c r="G41"/>
  <c r="E40"/>
  <c r="E37" s="1"/>
  <c r="D40"/>
  <c r="D37" s="1"/>
  <c r="M38"/>
  <c r="M37" s="1"/>
  <c r="N37"/>
  <c r="L38"/>
  <c r="L37" s="1"/>
  <c r="I38"/>
  <c r="I37" s="1"/>
  <c r="J38"/>
  <c r="J37" s="1"/>
  <c r="K39"/>
  <c r="G39"/>
  <c r="C39"/>
  <c r="C38"/>
  <c r="K40"/>
  <c r="G40"/>
  <c r="G47" l="1"/>
  <c r="K47"/>
  <c r="D49"/>
  <c r="C49" s="1"/>
  <c r="C47"/>
  <c r="K38"/>
  <c r="K37" s="1"/>
  <c r="H49"/>
  <c r="G49" s="1"/>
  <c r="L49"/>
  <c r="K49" s="1"/>
  <c r="C40"/>
  <c r="C37" s="1"/>
  <c r="G38"/>
  <c r="G37" s="1"/>
  <c r="K52"/>
  <c r="G53"/>
  <c r="C53"/>
  <c r="N52"/>
  <c r="M52"/>
  <c r="L52"/>
  <c r="J52"/>
  <c r="I52"/>
  <c r="H52"/>
  <c r="G52"/>
  <c r="F52"/>
  <c r="E52"/>
  <c r="D52"/>
  <c r="K44"/>
  <c r="G44"/>
  <c r="C44"/>
  <c r="C52" l="1"/>
  <c r="K29" l="1"/>
  <c r="G29"/>
  <c r="C29"/>
  <c r="K28"/>
  <c r="G28"/>
  <c r="C28"/>
  <c r="N25"/>
  <c r="N24" s="1"/>
  <c r="M25"/>
  <c r="M24" s="1"/>
  <c r="L25"/>
  <c r="J25"/>
  <c r="J24" s="1"/>
  <c r="I25"/>
  <c r="I24" s="1"/>
  <c r="H25"/>
  <c r="H24" s="1"/>
  <c r="F25"/>
  <c r="F24" s="1"/>
  <c r="F10" s="1"/>
  <c r="E25"/>
  <c r="E24" s="1"/>
  <c r="D25"/>
  <c r="M20"/>
  <c r="I20"/>
  <c r="E20"/>
  <c r="N20"/>
  <c r="J20"/>
  <c r="F20"/>
  <c r="D20"/>
  <c r="N18"/>
  <c r="M18"/>
  <c r="L18"/>
  <c r="J18"/>
  <c r="I18"/>
  <c r="H18"/>
  <c r="F18"/>
  <c r="E18"/>
  <c r="N12"/>
  <c r="M12"/>
  <c r="L12"/>
  <c r="J12"/>
  <c r="I12"/>
  <c r="H12"/>
  <c r="F12"/>
  <c r="E12"/>
  <c r="D12"/>
  <c r="C25" l="1"/>
  <c r="K25"/>
  <c r="G24"/>
  <c r="D24"/>
  <c r="C24" s="1"/>
  <c r="L24"/>
  <c r="K24" s="1"/>
  <c r="G25"/>
  <c r="M11"/>
  <c r="M10" s="1"/>
  <c r="G12"/>
  <c r="I11"/>
  <c r="I10" s="1"/>
  <c r="C14"/>
  <c r="C12"/>
  <c r="K12"/>
  <c r="G18"/>
  <c r="H20"/>
  <c r="G20" s="1"/>
  <c r="L20"/>
  <c r="K20" s="1"/>
  <c r="E11"/>
  <c r="E10" s="1"/>
  <c r="N11"/>
  <c r="N10" s="1"/>
  <c r="D18"/>
  <c r="C18" s="1"/>
  <c r="K18"/>
  <c r="C20"/>
  <c r="C27"/>
  <c r="J11"/>
  <c r="J10" s="1"/>
  <c r="L11" l="1"/>
  <c r="K11" s="1"/>
  <c r="D11"/>
  <c r="C11" s="1"/>
  <c r="H11"/>
  <c r="H10" s="1"/>
  <c r="L10"/>
  <c r="D10" l="1"/>
  <c r="G11"/>
  <c r="G10"/>
  <c r="K10"/>
  <c r="M35"/>
  <c r="M32" s="1"/>
  <c r="M31" s="1"/>
  <c r="L35"/>
  <c r="I35"/>
  <c r="I32" s="1"/>
  <c r="I31" s="1"/>
  <c r="H35"/>
  <c r="E35"/>
  <c r="E32" s="1"/>
  <c r="E31" s="1"/>
  <c r="D35"/>
  <c r="K36"/>
  <c r="G36"/>
  <c r="C36"/>
  <c r="C34"/>
  <c r="L33"/>
  <c r="H33"/>
  <c r="H32" s="1"/>
  <c r="C10" l="1"/>
  <c r="G34"/>
  <c r="K34"/>
  <c r="K33"/>
  <c r="L32"/>
  <c r="H31"/>
  <c r="G32"/>
  <c r="G33"/>
  <c r="G35"/>
  <c r="C35"/>
  <c r="K35"/>
  <c r="D33"/>
  <c r="G31" l="1"/>
  <c r="C33"/>
  <c r="D32"/>
  <c r="L31"/>
  <c r="K32"/>
  <c r="K31" l="1"/>
  <c r="D31"/>
  <c r="C9" s="1"/>
  <c r="C32"/>
  <c r="C31" l="1"/>
</calcChain>
</file>

<file path=xl/sharedStrings.xml><?xml version="1.0" encoding="utf-8"?>
<sst xmlns="http://schemas.openxmlformats.org/spreadsheetml/2006/main" count="226" uniqueCount="124">
  <si>
    <t>№ п/п</t>
  </si>
  <si>
    <t>Наименование мероприятия</t>
  </si>
  <si>
    <t>Всего</t>
  </si>
  <si>
    <t>в том числе:</t>
  </si>
  <si>
    <t>средства бюджета автономного округа</t>
  </si>
  <si>
    <t>средства федерального бюджета</t>
  </si>
  <si>
    <t>1.</t>
  </si>
  <si>
    <t>1.1.</t>
  </si>
  <si>
    <t>Содержание и развитие дошкольных образовательных  организаций всего, в том числе:</t>
  </si>
  <si>
    <t>1.1.1.</t>
  </si>
  <si>
    <t>Строительство новых учреждений</t>
  </si>
  <si>
    <t>1.2.</t>
  </si>
  <si>
    <t>Содержание и развитие общеобразовательных организаций всего, в том числе:</t>
  </si>
  <si>
    <t>1.2.1.</t>
  </si>
  <si>
    <t>Содержание и развитие организаций дополнительного образования всего, в том числе:</t>
  </si>
  <si>
    <t>Социальная поддержка всего, в том числе:</t>
  </si>
  <si>
    <t>Школьное питание (горячее питание), предоставляемое бесплатно, всего</t>
  </si>
  <si>
    <t>Компенсация родительской платы за присмотр и уход за детьми</t>
  </si>
  <si>
    <t>2.</t>
  </si>
  <si>
    <t>2.1.</t>
  </si>
  <si>
    <t>3.</t>
  </si>
  <si>
    <t>Социальная поддержка населения</t>
  </si>
  <si>
    <t>Предоставление мер социальной поддержки всего, в том числе:</t>
  </si>
  <si>
    <t>Организация летнего отдыха и оздоровления (в том числе в стационарных детских оздоровительных лагерях)</t>
  </si>
  <si>
    <t>Физическая культура и спорт</t>
  </si>
  <si>
    <t>Молодежная политика</t>
  </si>
  <si>
    <t>1.3</t>
  </si>
  <si>
    <t>ВСЕГО направляемых расходов, в том числе:</t>
  </si>
  <si>
    <t>Объёмы финансового обеспечения дошкольных образовательных организаций</t>
  </si>
  <si>
    <t xml:space="preserve">Объемы финансового обеспечения общеобразовательных организаций </t>
  </si>
  <si>
    <t xml:space="preserve">Реализация мероприятий, направленных на развитие детей </t>
  </si>
  <si>
    <t>1.1.1.1</t>
  </si>
  <si>
    <t>1.2.1.1</t>
  </si>
  <si>
    <t>1.3.1</t>
  </si>
  <si>
    <t>1.3.2</t>
  </si>
  <si>
    <t>тыс.рублей</t>
  </si>
  <si>
    <t xml:space="preserve">Из них для детей из льготных категорий семей </t>
  </si>
  <si>
    <t>Содержание и развитие учреждений физической культуры и спорта, всего</t>
  </si>
  <si>
    <t>Реализация мероприятий, направленных на формирование здорового образа жизни у детей, детских спортивных мероприятий, массовых детских спортивных мероприятий, всего:</t>
  </si>
  <si>
    <t xml:space="preserve">Развитие детского спорта в целях создания условий для подготовки спортивных сборных команд и участие в обеспечении подготовки спортивного резерва для спортивных сборных команд </t>
  </si>
  <si>
    <t>1.1.2.</t>
  </si>
  <si>
    <t>1.1.2.1</t>
  </si>
  <si>
    <t>1.1.2.2.</t>
  </si>
  <si>
    <t>1.1.3.</t>
  </si>
  <si>
    <t>1.1.3.2.</t>
  </si>
  <si>
    <t>1.1.4.</t>
  </si>
  <si>
    <t>1.1.4.1.</t>
  </si>
  <si>
    <t>1.1.4.2.</t>
  </si>
  <si>
    <t>средства местного бюджета</t>
  </si>
  <si>
    <t>Объемы финансового обеспечения   муниципальных организаций физической культуры и спорта</t>
  </si>
  <si>
    <t xml:space="preserve">Объемы финансового обеспечения организаций дополнительного образования </t>
  </si>
  <si>
    <t>1.1.4.1.1.</t>
  </si>
  <si>
    <t xml:space="preserve">Объемы финансового обеспечения  организаций молодежной политики </t>
  </si>
  <si>
    <t>Предоставление молодым семьям социальных выплат в виде субсидий</t>
  </si>
  <si>
    <t>Строительство систем инженерной инфраструктуры в целях обеспечения инженерной подготовки земельных участков для жилищного строительства</t>
  </si>
  <si>
    <t>2.1.1</t>
  </si>
  <si>
    <t>2.1.1.1</t>
  </si>
  <si>
    <t>2.1.2</t>
  </si>
  <si>
    <t>2.1.2.1</t>
  </si>
  <si>
    <t>4.</t>
  </si>
  <si>
    <t>Муниципальная программа "Культура города Урай" всего, в том числе:</t>
  </si>
  <si>
    <t>Усовершенствование организационных, экономических механизмов развития учреждений культуры и организаций дополнительного образования в области искусств</t>
  </si>
  <si>
    <t>Поддержка творческих и социокультурных гражданских  инициатив, способствующих самореализации населения. Вовлечение граждан в культурную деятельность</t>
  </si>
  <si>
    <t>3.1.</t>
  </si>
  <si>
    <t>3.2.</t>
  </si>
  <si>
    <t>Оказание муниципальных услуг (выполнение работ) организацией дополнительного образования в области искусств</t>
  </si>
  <si>
    <t>3.1.1.</t>
  </si>
  <si>
    <t>Стимулирование культурного разнообразия в городе Урай (конкурсы,городские мероприятия)</t>
  </si>
  <si>
    <t>3.2.1.</t>
  </si>
  <si>
    <t>5.</t>
  </si>
  <si>
    <t>5.1.</t>
  </si>
  <si>
    <t>Проведение мероприятий, направленных на приобретение знаний и навыков в области пожарной безопасности</t>
  </si>
  <si>
    <t>4.1.</t>
  </si>
  <si>
    <t>6.</t>
  </si>
  <si>
    <t>6.1.</t>
  </si>
  <si>
    <t>7.</t>
  </si>
  <si>
    <t>7.1.</t>
  </si>
  <si>
    <t>8.</t>
  </si>
  <si>
    <t>8.1.</t>
  </si>
  <si>
    <t xml:space="preserve">Приобретение жилых помещений для замены инвалидам, семьям, имеющим детей-инвалидов, являющихся нанимателями жилых помещений по договорам социального найма муниципального фонда </t>
  </si>
  <si>
    <t>к пояснительной записке по расходам</t>
  </si>
  <si>
    <t>Привлечения внимания подрастающего поколения к вопросам охраны труда (городской конкурс детского рисунка "Безопасный труд глазами детей")</t>
  </si>
  <si>
    <t>х</t>
  </si>
  <si>
    <t>Образование всего, в том числе:</t>
  </si>
  <si>
    <t>4.2.</t>
  </si>
  <si>
    <t>6.1.1.</t>
  </si>
  <si>
    <t>Информация об объёмах бюджетных ассигнований, направляемых на поддержку семьи и детей в 2025 году и плановом периоде 2026 и 2027 годов</t>
  </si>
  <si>
    <t xml:space="preserve">проект 2025 год </t>
  </si>
  <si>
    <t xml:space="preserve">проект 2027 год </t>
  </si>
  <si>
    <t>Муниципальная программа "Развитие образования и молодежной политики в городе Урай" - всего, в том числе:</t>
  </si>
  <si>
    <t xml:space="preserve">проект 2026 год </t>
  </si>
  <si>
    <t>1.1.2.3.</t>
  </si>
  <si>
    <t>Благоустройство территорий, включая обустройство и (или) ремонт, оснащение плоскостных спортивных сооружений, развивающих площадок</t>
  </si>
  <si>
    <t>1.3.3</t>
  </si>
  <si>
    <t>На организацию деятельности молодежных трудовых отрядов (реализация регионального проекта «Россия - страна возможностей»)</t>
  </si>
  <si>
    <t>Муниципальная программа "Развитие физической культуры, спорта и туризма в городе Урай и укрепление здоровья граждан города Урай" всего, в том числе:</t>
  </si>
  <si>
    <t>3.3.</t>
  </si>
  <si>
    <t>Укрепление единого культурного пространства (ремонт библиотеки)</t>
  </si>
  <si>
    <t>4.3.</t>
  </si>
  <si>
    <t>Улучшение жилищных условий (субсидии участникам СВО и членам их семей)</t>
  </si>
  <si>
    <t>Профилактика преступлений и првонарушений</t>
  </si>
  <si>
    <t>Организация деятельности волонтерского движения города Урай по пропаганде здорового образа жизни, в целях профилактики правонарушений</t>
  </si>
  <si>
    <t>Муниципальная программа «Улучшение жилищных условий жителей, проживающих на территории муниципального образования город Урай» всего, в том числе: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</si>
  <si>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всего, в том числе: </t>
  </si>
  <si>
    <t xml:space="preserve">Муниципальная программа «Профилактика правонарушений на территории города Урай» всего, в том числе:
</t>
  </si>
  <si>
    <t>Муниципальная программа  «Обеспечение градостроительной деятельности на территории города Урай всего, в том числе:</t>
  </si>
  <si>
    <t>Муниципальная программа "Совершенствование и развитие муниципального управления в городе Урай"всего, в том числе:</t>
  </si>
  <si>
    <t xml:space="preserve">Приложение 2 </t>
  </si>
  <si>
    <t>Информация об объёмах бюджетных ассигнований, направляемых на поддержку семьи и детей в 2026 году и плановом периоде 2027 и 20278годов</t>
  </si>
  <si>
    <t xml:space="preserve">Муниципальная программа "Развитие гражданского общества на территории города Урай" </t>
  </si>
  <si>
    <t>Капитальный ремонт учреждений образования</t>
  </si>
  <si>
    <t>1.1.1.2.</t>
  </si>
  <si>
    <t xml:space="preserve">На организацию деятельности молодежных трудовых отрядов </t>
  </si>
  <si>
    <t xml:space="preserve">проект 2028 год </t>
  </si>
  <si>
    <t>Муниципальная программа "Развитие образования в городе Урай" - всего, в том числе:</t>
  </si>
  <si>
    <t>3.1.2.</t>
  </si>
  <si>
    <t>Содержание и развитие учреждений и организаций культуры (культурно-досуговый центр)</t>
  </si>
  <si>
    <t>Социальная поддержка населения всего, в том числе:</t>
  </si>
  <si>
    <t>2.1.1.2</t>
  </si>
  <si>
    <t xml:space="preserve">Обеспечение населения объектами спорта </t>
  </si>
  <si>
    <t xml:space="preserve">Муниципальная программа «Укрепление межнационального и межконфессионального согласия, профилактика экстремизма на территории города Урай» всего, в том числе: </t>
  </si>
  <si>
    <t xml:space="preserve">Проведение мероприятий, направленных на профилактику экстремизма </t>
  </si>
  <si>
    <t>6.1.2.</t>
  </si>
  <si>
    <t>6.1.3.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</si>
</sst>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#,##0.0"/>
    <numFmt numFmtId="165" formatCode="_-* #,##0.0\ _₽_-;\-* #,##0.0\ _₽_-;_-* &quot;-&quot;??\ _₽_-;_-@_-"/>
    <numFmt numFmtId="166" formatCode="0.0"/>
  </numFmts>
  <fonts count="1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76">
    <xf numFmtId="0" fontId="0" fillId="0" borderId="0" xfId="0"/>
    <xf numFmtId="0" fontId="3" fillId="0" borderId="0" xfId="0" applyFont="1" applyFill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 wrapText="1" shrinkToFit="1"/>
    </xf>
    <xf numFmtId="164" fontId="2" fillId="0" borderId="0" xfId="0" applyNumberFormat="1" applyFont="1" applyFill="1" applyAlignment="1">
      <alignment horizontal="center" vertical="center" wrapText="1" shrinkToFit="1"/>
    </xf>
    <xf numFmtId="0" fontId="2" fillId="0" borderId="0" xfId="0" applyFont="1" applyFill="1" applyAlignment="1">
      <alignment horizontal="right" vertical="top"/>
    </xf>
    <xf numFmtId="0" fontId="6" fillId="0" borderId="0" xfId="0" applyFont="1" applyFill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 wrapText="1" shrinkToFit="1"/>
    </xf>
    <xf numFmtId="0" fontId="9" fillId="0" borderId="0" xfId="0" applyFont="1" applyFill="1" applyAlignment="1">
      <alignment horizontal="center" vertical="center" wrapText="1" shrinkToFit="1"/>
    </xf>
    <xf numFmtId="0" fontId="5" fillId="0" borderId="0" xfId="0" applyFont="1" applyFill="1" applyBorder="1" applyAlignment="1">
      <alignment horizontal="center" vertical="center" wrapText="1" shrinkToFit="1"/>
    </xf>
    <xf numFmtId="0" fontId="7" fillId="0" borderId="0" xfId="0" applyFont="1" applyFill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 shrinkToFit="1"/>
    </xf>
    <xf numFmtId="0" fontId="10" fillId="0" borderId="0" xfId="0" applyFont="1" applyFill="1" applyBorder="1" applyAlignment="1">
      <alignment horizontal="center" vertical="center" wrapText="1" shrinkToFit="1"/>
    </xf>
    <xf numFmtId="0" fontId="10" fillId="0" borderId="0" xfId="0" applyFont="1" applyFill="1" applyAlignment="1">
      <alignment horizontal="center" vertical="center" wrapText="1" shrinkToFit="1"/>
    </xf>
    <xf numFmtId="164" fontId="11" fillId="0" borderId="0" xfId="0" applyNumberFormat="1" applyFont="1" applyFill="1" applyBorder="1" applyAlignment="1">
      <alignment horizontal="right" wrapText="1" shrinkToFit="1"/>
    </xf>
    <xf numFmtId="0" fontId="3" fillId="2" borderId="0" xfId="0" applyFont="1" applyFill="1" applyAlignment="1">
      <alignment horizontal="center" vertical="center" wrapText="1" shrinkToFit="1"/>
    </xf>
    <xf numFmtId="165" fontId="11" fillId="0" borderId="0" xfId="0" applyNumberFormat="1" applyFont="1" applyFill="1" applyBorder="1" applyAlignment="1">
      <alignment horizontal="right" wrapText="1" shrinkToFit="1"/>
    </xf>
    <xf numFmtId="0" fontId="12" fillId="0" borderId="0" xfId="0" applyFont="1" applyFill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164" fontId="11" fillId="0" borderId="1" xfId="2" applyNumberFormat="1" applyFont="1" applyFill="1" applyBorder="1" applyAlignment="1">
      <alignment horizontal="right" wrapText="1"/>
    </xf>
    <xf numFmtId="164" fontId="2" fillId="0" borderId="1" xfId="2" applyNumberFormat="1" applyFont="1" applyFill="1" applyBorder="1" applyAlignment="1">
      <alignment horizontal="right" wrapText="1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165" fontId="2" fillId="0" borderId="1" xfId="1" applyNumberFormat="1" applyFont="1" applyFill="1" applyBorder="1" applyAlignment="1">
      <alignment horizontal="right" wrapText="1" shrinkToFit="1"/>
    </xf>
    <xf numFmtId="0" fontId="12" fillId="0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 applyProtection="1">
      <alignment horizontal="left" vertical="center" wrapText="1"/>
      <protection locked="0"/>
    </xf>
    <xf numFmtId="16" fontId="12" fillId="0" borderId="1" xfId="0" quotePrefix="1" applyNumberFormat="1" applyFont="1" applyFill="1" applyBorder="1" applyAlignment="1">
      <alignment horizontal="center" vertical="center" wrapText="1" shrinkToFit="1"/>
    </xf>
    <xf numFmtId="164" fontId="11" fillId="0" borderId="1" xfId="0" applyNumberFormat="1" applyFont="1" applyFill="1" applyBorder="1" applyAlignment="1">
      <alignment horizontal="right" wrapText="1" shrinkToFit="1"/>
    </xf>
    <xf numFmtId="0" fontId="3" fillId="0" borderId="1" xfId="0" quotePrefix="1" applyFont="1" applyFill="1" applyBorder="1" applyAlignment="1">
      <alignment horizontal="center" vertical="center" wrapText="1" shrinkToFit="1"/>
    </xf>
    <xf numFmtId="164" fontId="2" fillId="0" borderId="1" xfId="0" applyNumberFormat="1" applyFont="1" applyFill="1" applyBorder="1" applyAlignment="1">
      <alignment horizontal="right" wrapText="1" shrinkToFit="1"/>
    </xf>
    <xf numFmtId="0" fontId="11" fillId="0" borderId="1" xfId="0" applyFont="1" applyFill="1" applyBorder="1" applyAlignment="1">
      <alignment vertical="center" wrapText="1" shrinkToFit="1"/>
    </xf>
    <xf numFmtId="0" fontId="11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left" vertical="center" wrapText="1"/>
    </xf>
    <xf numFmtId="164" fontId="11" fillId="2" borderId="1" xfId="2" applyNumberFormat="1" applyFont="1" applyFill="1" applyBorder="1" applyAlignment="1">
      <alignment horizontal="right" wrapText="1"/>
    </xf>
    <xf numFmtId="164" fontId="2" fillId="2" borderId="1" xfId="2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wrapText="1" shrinkToFit="1"/>
    </xf>
    <xf numFmtId="0" fontId="3" fillId="2" borderId="1" xfId="0" quotePrefix="1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166" fontId="2" fillId="2" borderId="1" xfId="0" applyNumberFormat="1" applyFont="1" applyFill="1" applyBorder="1" applyAlignment="1">
      <alignment horizontal="right" wrapText="1" shrinkToFit="1"/>
    </xf>
    <xf numFmtId="0" fontId="11" fillId="0" borderId="1" xfId="0" applyFont="1" applyFill="1" applyBorder="1" applyAlignment="1" applyProtection="1">
      <alignment horizontal="justify" vertical="center"/>
      <protection locked="0"/>
    </xf>
    <xf numFmtId="16" fontId="3" fillId="0" borderId="1" xfId="0" quotePrefix="1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 applyProtection="1">
      <alignment horizontal="justify" vertical="center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>
      <alignment vertical="center" wrapText="1" shrinkToFi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 applyProtection="1">
      <alignment horizontal="justify" vertical="center" wrapText="1"/>
      <protection locked="0"/>
    </xf>
    <xf numFmtId="0" fontId="12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164" fontId="11" fillId="2" borderId="1" xfId="0" applyNumberFormat="1" applyFont="1" applyFill="1" applyBorder="1" applyAlignment="1">
      <alignment horizontal="right" wrapText="1" shrinkToFit="1"/>
    </xf>
    <xf numFmtId="0" fontId="2" fillId="2" borderId="1" xfId="0" applyFont="1" applyFill="1" applyBorder="1" applyAlignment="1">
      <alignment horizontal="justify" vertical="center"/>
    </xf>
    <xf numFmtId="164" fontId="2" fillId="2" borderId="1" xfId="0" applyNumberFormat="1" applyFont="1" applyFill="1" applyBorder="1" applyAlignment="1">
      <alignment horizontal="right" wrapText="1" shrinkToFit="1"/>
    </xf>
    <xf numFmtId="16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vertical="center" wrapText="1" shrinkToFit="1"/>
    </xf>
    <xf numFmtId="165" fontId="11" fillId="0" borderId="1" xfId="0" applyNumberFormat="1" applyFont="1" applyFill="1" applyBorder="1" applyAlignment="1">
      <alignment horizontal="right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0" xfId="0" applyFont="1" applyFill="1" applyAlignment="1">
      <alignment horizontal="center" vertical="center" wrapText="1" shrinkToFit="1"/>
    </xf>
    <xf numFmtId="164" fontId="13" fillId="0" borderId="0" xfId="0" applyNumberFormat="1" applyFont="1" applyFill="1" applyBorder="1" applyAlignment="1">
      <alignment horizontal="right" wrapText="1" shrinkToFit="1"/>
    </xf>
    <xf numFmtId="0" fontId="5" fillId="0" borderId="0" xfId="0" applyFont="1" applyFill="1" applyAlignment="1">
      <alignment horizontal="center" vertical="center" wrapText="1" shrinkToFit="1"/>
    </xf>
    <xf numFmtId="164" fontId="5" fillId="0" borderId="0" xfId="0" applyNumberFormat="1" applyFont="1" applyFill="1" applyBorder="1" applyAlignment="1">
      <alignment horizontal="right" wrapText="1" shrinkToFit="1"/>
    </xf>
    <xf numFmtId="0" fontId="11" fillId="0" borderId="0" xfId="0" applyFont="1" applyFill="1" applyAlignment="1">
      <alignment horizontal="center" vertical="center" wrapText="1" shrinkToFit="1"/>
    </xf>
    <xf numFmtId="164" fontId="11" fillId="0" borderId="0" xfId="0" applyNumberFormat="1" applyFont="1" applyFill="1" applyAlignment="1">
      <alignment horizontal="center" vertical="center" wrapText="1" shrinkToFit="1"/>
    </xf>
    <xf numFmtId="0" fontId="14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left" vertical="center" wrapText="1"/>
    </xf>
    <xf numFmtId="166" fontId="2" fillId="0" borderId="1" xfId="0" applyNumberFormat="1" applyFont="1" applyFill="1" applyBorder="1" applyAlignment="1">
      <alignment horizontal="right" wrapText="1" shrinkToFit="1"/>
    </xf>
    <xf numFmtId="16" fontId="3" fillId="0" borderId="1" xfId="0" applyNumberFormat="1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left" vertical="center" wrapText="1" shrinkToFit="1"/>
    </xf>
    <xf numFmtId="164" fontId="12" fillId="0" borderId="1" xfId="0" applyNumberFormat="1" applyFont="1" applyFill="1" applyBorder="1" applyAlignment="1">
      <alignment horizontal="right" vertical="center" wrapText="1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2" fillId="0" borderId="0" xfId="0" applyFont="1" applyFill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 shrinkToFit="1"/>
    </xf>
    <xf numFmtId="0" fontId="6" fillId="0" borderId="0" xfId="0" applyFont="1" applyFill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 wrapText="1" shrinkToFit="1"/>
    </xf>
  </cellXfs>
  <cellStyles count="3">
    <cellStyle name="Обычный" xfId="0" builtinId="0"/>
    <cellStyle name="Обычный 9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5"/>
  <sheetViews>
    <sheetView zoomScale="90" zoomScaleNormal="90" workbookViewId="0">
      <pane xSplit="2" ySplit="9" topLeftCell="C28" activePane="bottomRight" state="frozen"/>
      <selection pane="topRight" activeCell="C1" sqref="C1"/>
      <selection pane="bottomLeft" activeCell="A9" sqref="A9"/>
      <selection pane="bottomRight" activeCell="D36" sqref="D36"/>
    </sheetView>
  </sheetViews>
  <sheetFormatPr defaultRowHeight="15"/>
  <cols>
    <col min="1" max="1" width="9.5703125" style="7" customWidth="1"/>
    <col min="2" max="2" width="71.5703125" style="7" customWidth="1"/>
    <col min="3" max="5" width="14.7109375" style="1" customWidth="1"/>
    <col min="6" max="6" width="14" style="1" customWidth="1"/>
    <col min="7" max="9" width="14.7109375" style="1" customWidth="1"/>
    <col min="10" max="10" width="14" style="1" customWidth="1"/>
    <col min="11" max="13" width="14.7109375" style="1" customWidth="1"/>
    <col min="14" max="14" width="14" style="1" customWidth="1"/>
    <col min="15" max="15" width="14.85546875" style="1" customWidth="1"/>
    <col min="16" max="16" width="12.85546875" style="1" customWidth="1"/>
    <col min="17" max="25" width="14.28515625" style="1" customWidth="1"/>
    <col min="26" max="26" width="13.5703125" style="1" customWidth="1"/>
    <col min="27" max="16384" width="9.140625" style="1"/>
  </cols>
  <sheetData>
    <row r="1" spans="1:15" ht="15.75">
      <c r="A1" s="6"/>
      <c r="B1" s="6"/>
      <c r="C1" s="2"/>
      <c r="D1" s="2"/>
      <c r="E1" s="2"/>
      <c r="F1" s="2"/>
      <c r="G1" s="2"/>
      <c r="H1" s="2"/>
      <c r="I1" s="2"/>
      <c r="J1" s="2"/>
      <c r="K1" s="2"/>
      <c r="L1" s="69" t="s">
        <v>107</v>
      </c>
      <c r="M1" s="69"/>
      <c r="N1" s="69"/>
      <c r="O1" s="4"/>
    </row>
    <row r="2" spans="1:15" ht="15.75">
      <c r="A2" s="6"/>
      <c r="B2" s="6"/>
      <c r="C2" s="2"/>
      <c r="D2" s="2"/>
      <c r="E2" s="2"/>
      <c r="F2" s="2"/>
      <c r="G2" s="2"/>
      <c r="H2" s="2"/>
      <c r="I2" s="2"/>
      <c r="J2" s="2"/>
      <c r="K2" s="2"/>
      <c r="L2" s="69" t="s">
        <v>80</v>
      </c>
      <c r="M2" s="69"/>
      <c r="N2" s="69"/>
      <c r="O2" s="4"/>
    </row>
    <row r="3" spans="1:15" ht="31.5" customHeight="1">
      <c r="A3" s="74" t="s">
        <v>86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5"/>
    </row>
    <row r="4" spans="1:15" ht="25.5" customHeight="1">
      <c r="A4" s="6"/>
      <c r="B4" s="6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 t="s">
        <v>35</v>
      </c>
      <c r="O4" s="3"/>
    </row>
    <row r="5" spans="1:15" s="9" customFormat="1" ht="14.25" customHeight="1">
      <c r="A5" s="70" t="s">
        <v>0</v>
      </c>
      <c r="B5" s="70" t="s">
        <v>1</v>
      </c>
      <c r="C5" s="70" t="s">
        <v>87</v>
      </c>
      <c r="D5" s="70"/>
      <c r="E5" s="70"/>
      <c r="F5" s="70"/>
      <c r="G5" s="70" t="s">
        <v>90</v>
      </c>
      <c r="H5" s="70"/>
      <c r="I5" s="70"/>
      <c r="J5" s="70"/>
      <c r="K5" s="70" t="s">
        <v>88</v>
      </c>
      <c r="L5" s="70"/>
      <c r="M5" s="70"/>
      <c r="N5" s="70"/>
      <c r="O5" s="8"/>
    </row>
    <row r="6" spans="1:15" s="9" customFormat="1" ht="16.5" customHeight="1">
      <c r="A6" s="70"/>
      <c r="B6" s="70"/>
      <c r="C6" s="70" t="s">
        <v>2</v>
      </c>
      <c r="D6" s="71" t="s">
        <v>3</v>
      </c>
      <c r="E6" s="72"/>
      <c r="F6" s="73"/>
      <c r="G6" s="70" t="s">
        <v>2</v>
      </c>
      <c r="H6" s="71" t="s">
        <v>3</v>
      </c>
      <c r="I6" s="72"/>
      <c r="J6" s="73"/>
      <c r="K6" s="70" t="s">
        <v>2</v>
      </c>
      <c r="L6" s="71" t="s">
        <v>3</v>
      </c>
      <c r="M6" s="72"/>
      <c r="N6" s="73"/>
      <c r="O6" s="8"/>
    </row>
    <row r="7" spans="1:15" s="9" customFormat="1" ht="67.5" customHeight="1">
      <c r="A7" s="70"/>
      <c r="B7" s="70"/>
      <c r="C7" s="70"/>
      <c r="D7" s="10" t="s">
        <v>48</v>
      </c>
      <c r="E7" s="10" t="s">
        <v>4</v>
      </c>
      <c r="F7" s="10" t="s">
        <v>5</v>
      </c>
      <c r="G7" s="70"/>
      <c r="H7" s="10" t="s">
        <v>48</v>
      </c>
      <c r="I7" s="10" t="s">
        <v>4</v>
      </c>
      <c r="J7" s="10" t="s">
        <v>5</v>
      </c>
      <c r="K7" s="70"/>
      <c r="L7" s="10" t="s">
        <v>48</v>
      </c>
      <c r="M7" s="10" t="s">
        <v>4</v>
      </c>
      <c r="N7" s="10" t="s">
        <v>5</v>
      </c>
      <c r="O7" s="8"/>
    </row>
    <row r="8" spans="1:15" s="13" customFormat="1" ht="12.75">
      <c r="A8" s="11" t="s">
        <v>82</v>
      </c>
      <c r="B8" s="11" t="s">
        <v>82</v>
      </c>
      <c r="C8" s="11">
        <v>1</v>
      </c>
      <c r="D8" s="11">
        <v>2</v>
      </c>
      <c r="E8" s="11">
        <v>3</v>
      </c>
      <c r="F8" s="11">
        <v>4</v>
      </c>
      <c r="G8" s="11">
        <v>5</v>
      </c>
      <c r="H8" s="11">
        <v>6</v>
      </c>
      <c r="I8" s="11">
        <v>7</v>
      </c>
      <c r="J8" s="11">
        <v>8</v>
      </c>
      <c r="K8" s="11">
        <v>9</v>
      </c>
      <c r="L8" s="11">
        <v>10</v>
      </c>
      <c r="M8" s="11">
        <v>11</v>
      </c>
      <c r="N8" s="11">
        <v>12</v>
      </c>
      <c r="O8" s="12"/>
    </row>
    <row r="9" spans="1:15" s="17" customFormat="1" ht="27.75" customHeight="1">
      <c r="A9" s="68" t="s">
        <v>27</v>
      </c>
      <c r="B9" s="68"/>
      <c r="C9" s="19">
        <f>SUM(D9:F9)</f>
        <v>2963229.1</v>
      </c>
      <c r="D9" s="54">
        <f>D10+D31+D37+D43+D47+D49+D52+D54</f>
        <v>867068.10000000009</v>
      </c>
      <c r="E9" s="54">
        <f t="shared" ref="E9:N9" si="0">E10+E31+E37+E43+E47+E49+E52+E54</f>
        <v>2096161</v>
      </c>
      <c r="F9" s="54">
        <f t="shared" si="0"/>
        <v>0</v>
      </c>
      <c r="G9" s="54">
        <f>H9+I9+J9</f>
        <v>2453295.4</v>
      </c>
      <c r="H9" s="54">
        <f t="shared" si="0"/>
        <v>671482.6</v>
      </c>
      <c r="I9" s="54">
        <f t="shared" si="0"/>
        <v>1781812.8</v>
      </c>
      <c r="J9" s="54">
        <f t="shared" si="0"/>
        <v>0</v>
      </c>
      <c r="K9" s="54">
        <f>L9+M9+N9</f>
        <v>2418545</v>
      </c>
      <c r="L9" s="54">
        <f t="shared" si="0"/>
        <v>634654.4</v>
      </c>
      <c r="M9" s="54">
        <f t="shared" si="0"/>
        <v>1783890.6</v>
      </c>
      <c r="N9" s="54">
        <f t="shared" si="0"/>
        <v>0</v>
      </c>
      <c r="O9" s="16"/>
    </row>
    <row r="10" spans="1:15" s="2" customFormat="1" ht="33.75" customHeight="1">
      <c r="A10" s="23" t="s">
        <v>6</v>
      </c>
      <c r="B10" s="29" t="s">
        <v>89</v>
      </c>
      <c r="C10" s="19">
        <f>D10+E10+F10</f>
        <v>2473518.6</v>
      </c>
      <c r="D10" s="19">
        <f>D11+D24+D27</f>
        <v>470684.60000000009</v>
      </c>
      <c r="E10" s="19">
        <f t="shared" ref="E10:F10" si="1">E11+E24+E27</f>
        <v>2002834</v>
      </c>
      <c r="F10" s="19">
        <f t="shared" si="1"/>
        <v>0</v>
      </c>
      <c r="G10" s="19">
        <f>H10+I10+J10</f>
        <v>2033610.3000000003</v>
      </c>
      <c r="H10" s="19">
        <f>H11+H24+H27</f>
        <v>346199.9</v>
      </c>
      <c r="I10" s="19">
        <f t="shared" ref="I10:J10" si="2">I11+I24+I27</f>
        <v>1687410.4000000001</v>
      </c>
      <c r="J10" s="19">
        <f t="shared" si="2"/>
        <v>0</v>
      </c>
      <c r="K10" s="19">
        <f>L10+M10+N10</f>
        <v>1998957.2000000002</v>
      </c>
      <c r="L10" s="19">
        <f>L11+L24+L27</f>
        <v>308951.10000000003</v>
      </c>
      <c r="M10" s="19">
        <f t="shared" ref="M10:N10" si="3">M11+M24+M27</f>
        <v>1690006.1</v>
      </c>
      <c r="N10" s="19">
        <f t="shared" si="3"/>
        <v>0</v>
      </c>
      <c r="O10" s="14"/>
    </row>
    <row r="11" spans="1:15" ht="22.5" customHeight="1">
      <c r="A11" s="23" t="s">
        <v>7</v>
      </c>
      <c r="B11" s="30" t="s">
        <v>83</v>
      </c>
      <c r="C11" s="19">
        <f t="shared" ref="C11:C30" si="4">D11+E11+F11</f>
        <v>2413004.9</v>
      </c>
      <c r="D11" s="19">
        <f>D12+D14+D18+D20</f>
        <v>438778.40000000008</v>
      </c>
      <c r="E11" s="19">
        <f t="shared" ref="E11" si="5">E12+E14+E18+E20</f>
        <v>1974226.5</v>
      </c>
      <c r="F11" s="19"/>
      <c r="G11" s="19">
        <f t="shared" ref="G11:G30" si="6">H11+I11+J11</f>
        <v>1976255.6</v>
      </c>
      <c r="H11" s="19">
        <f>H12+H14+H18+H20</f>
        <v>316952.7</v>
      </c>
      <c r="I11" s="19">
        <f t="shared" ref="I11:J11" si="7">I12+I14+I18+I20</f>
        <v>1659302.9000000001</v>
      </c>
      <c r="J11" s="19">
        <f t="shared" si="7"/>
        <v>0</v>
      </c>
      <c r="K11" s="19">
        <f t="shared" ref="K11:K30" si="8">L11+M11+N11</f>
        <v>1941252.9000000001</v>
      </c>
      <c r="L11" s="19">
        <f>L12+L14+L18+L20</f>
        <v>279354.30000000005</v>
      </c>
      <c r="M11" s="19">
        <f t="shared" ref="M11:N11" si="9">M12+M14+M18+M20</f>
        <v>1661898.6</v>
      </c>
      <c r="N11" s="19">
        <f t="shared" si="9"/>
        <v>0</v>
      </c>
      <c r="O11" s="14"/>
    </row>
    <row r="12" spans="1:15" s="15" customFormat="1" ht="31.5">
      <c r="A12" s="31" t="s">
        <v>9</v>
      </c>
      <c r="B12" s="32" t="s">
        <v>8</v>
      </c>
      <c r="C12" s="33">
        <f t="shared" si="4"/>
        <v>778458.60000000009</v>
      </c>
      <c r="D12" s="34">
        <f>D13</f>
        <v>176779.7</v>
      </c>
      <c r="E12" s="34">
        <f t="shared" ref="E12:F12" si="10">E13</f>
        <v>601678.9</v>
      </c>
      <c r="F12" s="34">
        <f t="shared" si="10"/>
        <v>0</v>
      </c>
      <c r="G12" s="33">
        <f t="shared" si="6"/>
        <v>728011.60000000009</v>
      </c>
      <c r="H12" s="34">
        <f>H13</f>
        <v>120398.8</v>
      </c>
      <c r="I12" s="34">
        <f t="shared" ref="I12:J12" si="11">I13</f>
        <v>607612.80000000005</v>
      </c>
      <c r="J12" s="34">
        <f t="shared" si="11"/>
        <v>0</v>
      </c>
      <c r="K12" s="33">
        <f t="shared" si="8"/>
        <v>729056.20000000007</v>
      </c>
      <c r="L12" s="34">
        <f>L13</f>
        <v>121443.4</v>
      </c>
      <c r="M12" s="34">
        <f t="shared" ref="M12:N12" si="12">M13</f>
        <v>607612.80000000005</v>
      </c>
      <c r="N12" s="34">
        <f t="shared" si="12"/>
        <v>0</v>
      </c>
      <c r="O12" s="35"/>
    </row>
    <row r="13" spans="1:15" s="15" customFormat="1" ht="31.5">
      <c r="A13" s="31" t="s">
        <v>31</v>
      </c>
      <c r="B13" s="32" t="s">
        <v>28</v>
      </c>
      <c r="C13" s="33">
        <f t="shared" si="4"/>
        <v>778458.60000000009</v>
      </c>
      <c r="D13" s="34">
        <v>176779.7</v>
      </c>
      <c r="E13" s="34">
        <v>601678.9</v>
      </c>
      <c r="F13" s="34">
        <v>0</v>
      </c>
      <c r="G13" s="33">
        <f t="shared" si="6"/>
        <v>728011.60000000009</v>
      </c>
      <c r="H13" s="34">
        <v>120398.8</v>
      </c>
      <c r="I13" s="34">
        <v>607612.80000000005</v>
      </c>
      <c r="J13" s="34">
        <v>0</v>
      </c>
      <c r="K13" s="33">
        <f t="shared" si="8"/>
        <v>729056.20000000007</v>
      </c>
      <c r="L13" s="34">
        <v>121443.4</v>
      </c>
      <c r="M13" s="34">
        <v>607612.80000000005</v>
      </c>
      <c r="N13" s="34">
        <v>0</v>
      </c>
      <c r="O13" s="35"/>
    </row>
    <row r="14" spans="1:15" s="15" customFormat="1" ht="31.5">
      <c r="A14" s="36" t="s">
        <v>40</v>
      </c>
      <c r="B14" s="32" t="s">
        <v>12</v>
      </c>
      <c r="C14" s="33">
        <f t="shared" si="4"/>
        <v>1360588.2000000002</v>
      </c>
      <c r="D14" s="34">
        <f>D15+D16+D17</f>
        <v>148554.1</v>
      </c>
      <c r="E14" s="34">
        <f>E15+E16+E17</f>
        <v>1212034.1000000001</v>
      </c>
      <c r="F14" s="34">
        <f t="shared" ref="F14:N14" si="13">F15+F16+F17</f>
        <v>0</v>
      </c>
      <c r="G14" s="33">
        <f>H14+I14+J14</f>
        <v>1009399.2</v>
      </c>
      <c r="H14" s="34">
        <f t="shared" si="13"/>
        <v>115173.40000000001</v>
      </c>
      <c r="I14" s="34">
        <f t="shared" si="13"/>
        <v>894225.79999999993</v>
      </c>
      <c r="J14" s="34">
        <f t="shared" si="13"/>
        <v>0</v>
      </c>
      <c r="K14" s="33">
        <f>L14+M14+N14</f>
        <v>973000.6</v>
      </c>
      <c r="L14" s="34">
        <f t="shared" si="13"/>
        <v>78724.800000000003</v>
      </c>
      <c r="M14" s="34">
        <f t="shared" si="13"/>
        <v>894275.79999999993</v>
      </c>
      <c r="N14" s="34">
        <f t="shared" si="13"/>
        <v>0</v>
      </c>
      <c r="O14" s="35"/>
    </row>
    <row r="15" spans="1:15" s="15" customFormat="1" ht="31.5">
      <c r="A15" s="31" t="s">
        <v>41</v>
      </c>
      <c r="B15" s="32" t="s">
        <v>29</v>
      </c>
      <c r="C15" s="33">
        <f t="shared" si="4"/>
        <v>1002550.1000000001</v>
      </c>
      <c r="D15" s="34">
        <f>113655+29.5+1554.8+45+838.2+425.1+829.7</f>
        <v>117377.3</v>
      </c>
      <c r="E15" s="34">
        <f>880553.4+2840+1779.4</f>
        <v>885172.8</v>
      </c>
      <c r="F15" s="34"/>
      <c r="G15" s="33">
        <f t="shared" si="6"/>
        <v>1009399.2</v>
      </c>
      <c r="H15" s="34">
        <f>112247.4+35.6+1582.1+45+838.2+425.1</f>
        <v>115173.40000000001</v>
      </c>
      <c r="I15" s="34">
        <f>888973.2+2890+2362.6</f>
        <v>894225.79999999993</v>
      </c>
      <c r="J15" s="34"/>
      <c r="K15" s="33">
        <f t="shared" si="8"/>
        <v>973000.6</v>
      </c>
      <c r="L15" s="34">
        <f>75771.4+35.6+45+838.2+1609.5+425.1</f>
        <v>78724.800000000003</v>
      </c>
      <c r="M15" s="34">
        <f>888973.2+2940+2362.6</f>
        <v>894275.79999999993</v>
      </c>
      <c r="N15" s="34"/>
      <c r="O15" s="35"/>
    </row>
    <row r="16" spans="1:15" s="15" customFormat="1" ht="15.75">
      <c r="A16" s="31" t="s">
        <v>42</v>
      </c>
      <c r="B16" s="32" t="s">
        <v>10</v>
      </c>
      <c r="C16" s="33">
        <f t="shared" si="4"/>
        <v>254780.4</v>
      </c>
      <c r="D16" s="34">
        <v>26013.9</v>
      </c>
      <c r="E16" s="34">
        <v>228766.5</v>
      </c>
      <c r="F16" s="34"/>
      <c r="G16" s="33">
        <f t="shared" si="6"/>
        <v>0</v>
      </c>
      <c r="H16" s="34"/>
      <c r="I16" s="34"/>
      <c r="J16" s="34"/>
      <c r="K16" s="33">
        <f t="shared" si="8"/>
        <v>0</v>
      </c>
      <c r="L16" s="34">
        <v>0</v>
      </c>
      <c r="M16" s="34">
        <v>0</v>
      </c>
      <c r="N16" s="34">
        <v>0</v>
      </c>
    </row>
    <row r="17" spans="1:14" s="15" customFormat="1" ht="47.25">
      <c r="A17" s="31" t="s">
        <v>91</v>
      </c>
      <c r="B17" s="32" t="s">
        <v>92</v>
      </c>
      <c r="C17" s="33">
        <f t="shared" si="4"/>
        <v>103257.7</v>
      </c>
      <c r="D17" s="34">
        <f>129.7+5033.2</f>
        <v>5162.8999999999996</v>
      </c>
      <c r="E17" s="34">
        <f>2464+95630.8</f>
        <v>98094.8</v>
      </c>
      <c r="F17" s="34"/>
      <c r="G17" s="33">
        <f>SUM(H17:J17)</f>
        <v>0</v>
      </c>
      <c r="H17" s="34"/>
      <c r="I17" s="34"/>
      <c r="J17" s="34"/>
      <c r="K17" s="33">
        <f>SUM(L17:N17)</f>
        <v>0</v>
      </c>
      <c r="L17" s="34"/>
      <c r="M17" s="34"/>
      <c r="N17" s="34"/>
    </row>
    <row r="18" spans="1:14" s="15" customFormat="1" ht="31.5">
      <c r="A18" s="31" t="s">
        <v>43</v>
      </c>
      <c r="B18" s="32" t="s">
        <v>14</v>
      </c>
      <c r="C18" s="33">
        <f t="shared" si="4"/>
        <v>73997.200000000012</v>
      </c>
      <c r="D18" s="34">
        <f>D19</f>
        <v>73737.200000000012</v>
      </c>
      <c r="E18" s="34">
        <f t="shared" ref="E18:F18" si="14">E19</f>
        <v>260</v>
      </c>
      <c r="F18" s="34">
        <f t="shared" si="14"/>
        <v>0</v>
      </c>
      <c r="G18" s="33">
        <f t="shared" si="6"/>
        <v>34118</v>
      </c>
      <c r="H18" s="34">
        <f>H19</f>
        <v>33858</v>
      </c>
      <c r="I18" s="34">
        <f t="shared" ref="I18:J18" si="15">I19</f>
        <v>260</v>
      </c>
      <c r="J18" s="34">
        <f t="shared" si="15"/>
        <v>0</v>
      </c>
      <c r="K18" s="33">
        <f t="shared" si="8"/>
        <v>34207.700000000004</v>
      </c>
      <c r="L18" s="34">
        <f>L19</f>
        <v>33947.700000000004</v>
      </c>
      <c r="M18" s="34">
        <f t="shared" ref="M18:N18" si="16">M19</f>
        <v>260</v>
      </c>
      <c r="N18" s="34">
        <f t="shared" si="16"/>
        <v>0</v>
      </c>
    </row>
    <row r="19" spans="1:14" s="15" customFormat="1" ht="31.5">
      <c r="A19" s="36" t="s">
        <v>44</v>
      </c>
      <c r="B19" s="37" t="s">
        <v>50</v>
      </c>
      <c r="C19" s="33">
        <f t="shared" si="4"/>
        <v>73997.200000000012</v>
      </c>
      <c r="D19" s="34">
        <f>45452.4+19180.9+8961.6+142.3</f>
        <v>73737.200000000012</v>
      </c>
      <c r="E19" s="38">
        <v>260</v>
      </c>
      <c r="F19" s="38">
        <v>0</v>
      </c>
      <c r="G19" s="33">
        <f t="shared" si="6"/>
        <v>34118</v>
      </c>
      <c r="H19" s="34">
        <f>33715.7+142.3</f>
        <v>33858</v>
      </c>
      <c r="I19" s="38">
        <v>260</v>
      </c>
      <c r="J19" s="38">
        <v>0</v>
      </c>
      <c r="K19" s="33">
        <f t="shared" si="8"/>
        <v>34207.700000000004</v>
      </c>
      <c r="L19" s="34">
        <f>33805.4+142.3</f>
        <v>33947.700000000004</v>
      </c>
      <c r="M19" s="38">
        <v>260</v>
      </c>
      <c r="N19" s="34">
        <v>0</v>
      </c>
    </row>
    <row r="20" spans="1:14" s="15" customFormat="1" ht="15.75">
      <c r="A20" s="31" t="s">
        <v>45</v>
      </c>
      <c r="B20" s="37" t="s">
        <v>15</v>
      </c>
      <c r="C20" s="33">
        <f t="shared" si="4"/>
        <v>199960.9</v>
      </c>
      <c r="D20" s="34">
        <f>D21+D23</f>
        <v>39707.4</v>
      </c>
      <c r="E20" s="34">
        <f t="shared" ref="E20:F20" si="17">E21+E23</f>
        <v>160253.5</v>
      </c>
      <c r="F20" s="34">
        <f t="shared" si="17"/>
        <v>0</v>
      </c>
      <c r="G20" s="33">
        <f t="shared" si="6"/>
        <v>204726.8</v>
      </c>
      <c r="H20" s="34">
        <f>H21+H23</f>
        <v>47522.5</v>
      </c>
      <c r="I20" s="34">
        <f t="shared" ref="I20:J20" si="18">I21+I23</f>
        <v>157204.29999999999</v>
      </c>
      <c r="J20" s="34">
        <f t="shared" si="18"/>
        <v>0</v>
      </c>
      <c r="K20" s="33">
        <f t="shared" si="8"/>
        <v>204988.4</v>
      </c>
      <c r="L20" s="34">
        <f>L21+L23</f>
        <v>45238.400000000001</v>
      </c>
      <c r="M20" s="34">
        <f t="shared" ref="M20:N20" si="19">M21+M23</f>
        <v>159750</v>
      </c>
      <c r="N20" s="34">
        <f t="shared" si="19"/>
        <v>0</v>
      </c>
    </row>
    <row r="21" spans="1:14" ht="21" customHeight="1">
      <c r="A21" s="18" t="s">
        <v>46</v>
      </c>
      <c r="B21" s="21" t="s">
        <v>16</v>
      </c>
      <c r="C21" s="19">
        <f t="shared" si="4"/>
        <v>172296.9</v>
      </c>
      <c r="D21" s="20">
        <f>9377.6+30329.8</f>
        <v>39707.4</v>
      </c>
      <c r="E21" s="20">
        <f>19230.7+E22</f>
        <v>132589.5</v>
      </c>
      <c r="F21" s="20"/>
      <c r="G21" s="19">
        <f t="shared" si="6"/>
        <v>177061.8</v>
      </c>
      <c r="H21" s="20">
        <f>17192.7+30329.8</f>
        <v>47522.5</v>
      </c>
      <c r="I21" s="20">
        <f>16180.5+I22</f>
        <v>129539.3</v>
      </c>
      <c r="J21" s="20"/>
      <c r="K21" s="19">
        <f t="shared" si="8"/>
        <v>177323.4</v>
      </c>
      <c r="L21" s="20">
        <f>14908.6+30329.8</f>
        <v>45238.400000000001</v>
      </c>
      <c r="M21" s="20">
        <f>18726.2+M22</f>
        <v>132085</v>
      </c>
      <c r="N21" s="20"/>
    </row>
    <row r="22" spans="1:14" ht="15.75">
      <c r="A22" s="18" t="s">
        <v>51</v>
      </c>
      <c r="B22" s="21" t="s">
        <v>36</v>
      </c>
      <c r="C22" s="19">
        <f t="shared" si="4"/>
        <v>113358.8</v>
      </c>
      <c r="D22" s="20">
        <v>0</v>
      </c>
      <c r="E22" s="22">
        <v>113358.8</v>
      </c>
      <c r="F22" s="20">
        <v>0</v>
      </c>
      <c r="G22" s="19">
        <f t="shared" si="6"/>
        <v>113358.8</v>
      </c>
      <c r="H22" s="20">
        <v>0</v>
      </c>
      <c r="I22" s="22">
        <v>113358.8</v>
      </c>
      <c r="J22" s="20">
        <v>0</v>
      </c>
      <c r="K22" s="19">
        <f t="shared" si="8"/>
        <v>113358.8</v>
      </c>
      <c r="L22" s="20">
        <v>0</v>
      </c>
      <c r="M22" s="22">
        <v>113358.8</v>
      </c>
      <c r="N22" s="20">
        <v>0</v>
      </c>
    </row>
    <row r="23" spans="1:14" ht="15.75">
      <c r="A23" s="18" t="s">
        <v>47</v>
      </c>
      <c r="B23" s="21" t="s">
        <v>17</v>
      </c>
      <c r="C23" s="19">
        <f t="shared" si="4"/>
        <v>27664</v>
      </c>
      <c r="D23" s="20">
        <v>0</v>
      </c>
      <c r="E23" s="22">
        <v>27664</v>
      </c>
      <c r="F23" s="20">
        <v>0</v>
      </c>
      <c r="G23" s="19">
        <f t="shared" si="6"/>
        <v>27665</v>
      </c>
      <c r="H23" s="20">
        <v>0</v>
      </c>
      <c r="I23" s="22">
        <v>27665</v>
      </c>
      <c r="J23" s="20">
        <v>0</v>
      </c>
      <c r="K23" s="19">
        <f t="shared" si="8"/>
        <v>27665</v>
      </c>
      <c r="L23" s="20">
        <v>0</v>
      </c>
      <c r="M23" s="22">
        <v>27665</v>
      </c>
      <c r="N23" s="20">
        <v>0</v>
      </c>
    </row>
    <row r="24" spans="1:14" ht="15.75">
      <c r="A24" s="23" t="s">
        <v>11</v>
      </c>
      <c r="B24" s="24" t="s">
        <v>21</v>
      </c>
      <c r="C24" s="19">
        <f t="shared" si="4"/>
        <v>32723.7</v>
      </c>
      <c r="D24" s="19">
        <f>D25</f>
        <v>6616.2</v>
      </c>
      <c r="E24" s="19">
        <f t="shared" ref="E24:F25" si="20">E25</f>
        <v>26107.5</v>
      </c>
      <c r="F24" s="19">
        <f t="shared" si="20"/>
        <v>0</v>
      </c>
      <c r="G24" s="19">
        <f t="shared" si="6"/>
        <v>32723.7</v>
      </c>
      <c r="H24" s="19">
        <f>H25</f>
        <v>6616.2</v>
      </c>
      <c r="I24" s="19">
        <f t="shared" ref="I24:J25" si="21">I25</f>
        <v>26107.5</v>
      </c>
      <c r="J24" s="19">
        <f t="shared" si="21"/>
        <v>0</v>
      </c>
      <c r="K24" s="19">
        <f t="shared" si="8"/>
        <v>32723.7</v>
      </c>
      <c r="L24" s="19">
        <f>L25</f>
        <v>6616.2</v>
      </c>
      <c r="M24" s="19">
        <f t="shared" ref="M24:N25" si="22">M25</f>
        <v>26107.5</v>
      </c>
      <c r="N24" s="19">
        <f t="shared" si="22"/>
        <v>0</v>
      </c>
    </row>
    <row r="25" spans="1:14" ht="15.75">
      <c r="A25" s="18" t="s">
        <v>13</v>
      </c>
      <c r="B25" s="21" t="s">
        <v>22</v>
      </c>
      <c r="C25" s="19">
        <f t="shared" si="4"/>
        <v>32723.7</v>
      </c>
      <c r="D25" s="20">
        <f>D26</f>
        <v>6616.2</v>
      </c>
      <c r="E25" s="20">
        <f t="shared" si="20"/>
        <v>26107.5</v>
      </c>
      <c r="F25" s="20">
        <f t="shared" si="20"/>
        <v>0</v>
      </c>
      <c r="G25" s="19">
        <f t="shared" si="6"/>
        <v>32723.7</v>
      </c>
      <c r="H25" s="20">
        <f>H26</f>
        <v>6616.2</v>
      </c>
      <c r="I25" s="20">
        <f t="shared" si="21"/>
        <v>26107.5</v>
      </c>
      <c r="J25" s="20">
        <f t="shared" si="21"/>
        <v>0</v>
      </c>
      <c r="K25" s="19">
        <f t="shared" si="8"/>
        <v>32723.7</v>
      </c>
      <c r="L25" s="20">
        <f>L26</f>
        <v>6616.2</v>
      </c>
      <c r="M25" s="20">
        <f t="shared" si="22"/>
        <v>26107.5</v>
      </c>
      <c r="N25" s="20">
        <f t="shared" si="22"/>
        <v>0</v>
      </c>
    </row>
    <row r="26" spans="1:14" ht="32.25" customHeight="1">
      <c r="A26" s="18" t="s">
        <v>32</v>
      </c>
      <c r="B26" s="21" t="s">
        <v>23</v>
      </c>
      <c r="C26" s="19">
        <f t="shared" si="4"/>
        <v>32723.7</v>
      </c>
      <c r="D26" s="20">
        <f>4872.5+300+1443.7</f>
        <v>6616.2</v>
      </c>
      <c r="E26" s="20">
        <f>17926.8+8180.7</f>
        <v>26107.5</v>
      </c>
      <c r="F26" s="20">
        <v>0</v>
      </c>
      <c r="G26" s="19">
        <f t="shared" si="6"/>
        <v>32723.7</v>
      </c>
      <c r="H26" s="20">
        <f>4872.5+300+1443.7</f>
        <v>6616.2</v>
      </c>
      <c r="I26" s="20">
        <f>17926.8+8180.7</f>
        <v>26107.5</v>
      </c>
      <c r="J26" s="20">
        <v>0</v>
      </c>
      <c r="K26" s="19">
        <f t="shared" si="8"/>
        <v>32723.7</v>
      </c>
      <c r="L26" s="20">
        <f>4872.5+300+1443.7</f>
        <v>6616.2</v>
      </c>
      <c r="M26" s="20">
        <f>17926.8+8180.7</f>
        <v>26107.5</v>
      </c>
      <c r="N26" s="20">
        <v>0</v>
      </c>
    </row>
    <row r="27" spans="1:14" ht="15.75">
      <c r="A27" s="25" t="s">
        <v>26</v>
      </c>
      <c r="B27" s="24" t="s">
        <v>25</v>
      </c>
      <c r="C27" s="19">
        <f t="shared" si="4"/>
        <v>27790</v>
      </c>
      <c r="D27" s="26">
        <f>D28+D29+D30</f>
        <v>25290</v>
      </c>
      <c r="E27" s="26">
        <f t="shared" ref="E27:N27" si="23">E28+E29+E30</f>
        <v>2500</v>
      </c>
      <c r="F27" s="26">
        <f t="shared" si="23"/>
        <v>0</v>
      </c>
      <c r="G27" s="26">
        <f>SUM(H27:J27)</f>
        <v>24630.999999999996</v>
      </c>
      <c r="H27" s="26">
        <f t="shared" si="23"/>
        <v>22630.999999999996</v>
      </c>
      <c r="I27" s="26">
        <f t="shared" si="23"/>
        <v>2000</v>
      </c>
      <c r="J27" s="26">
        <f t="shared" si="23"/>
        <v>0</v>
      </c>
      <c r="K27" s="26">
        <f>SUM(L27:N27)</f>
        <v>24980.6</v>
      </c>
      <c r="L27" s="26">
        <f t="shared" si="23"/>
        <v>22980.6</v>
      </c>
      <c r="M27" s="26">
        <f t="shared" si="23"/>
        <v>2000</v>
      </c>
      <c r="N27" s="26">
        <f t="shared" si="23"/>
        <v>0</v>
      </c>
    </row>
    <row r="28" spans="1:14" ht="15.75">
      <c r="A28" s="27" t="s">
        <v>33</v>
      </c>
      <c r="B28" s="21" t="s">
        <v>30</v>
      </c>
      <c r="C28" s="19">
        <f t="shared" si="4"/>
        <v>2272.6999999999998</v>
      </c>
      <c r="D28" s="20">
        <v>2272.6999999999998</v>
      </c>
      <c r="E28" s="20">
        <v>0</v>
      </c>
      <c r="F28" s="20">
        <v>0</v>
      </c>
      <c r="G28" s="19">
        <f t="shared" si="6"/>
        <v>763.6</v>
      </c>
      <c r="H28" s="20">
        <v>763.6</v>
      </c>
      <c r="I28" s="20">
        <v>0</v>
      </c>
      <c r="J28" s="20">
        <v>0</v>
      </c>
      <c r="K28" s="19">
        <f t="shared" si="8"/>
        <v>763.6</v>
      </c>
      <c r="L28" s="20">
        <v>763.6</v>
      </c>
      <c r="M28" s="20">
        <v>0</v>
      </c>
      <c r="N28" s="20">
        <v>0</v>
      </c>
    </row>
    <row r="29" spans="1:14" ht="24.75" customHeight="1">
      <c r="A29" s="27" t="s">
        <v>34</v>
      </c>
      <c r="B29" s="21" t="s">
        <v>52</v>
      </c>
      <c r="C29" s="19">
        <f t="shared" si="4"/>
        <v>24803</v>
      </c>
      <c r="D29" s="28">
        <f>18160.2+4642.8</f>
        <v>22803</v>
      </c>
      <c r="E29" s="28">
        <v>2000</v>
      </c>
      <c r="F29" s="20">
        <v>0</v>
      </c>
      <c r="G29" s="19">
        <f t="shared" si="6"/>
        <v>23867.399999999998</v>
      </c>
      <c r="H29" s="28">
        <f>17224.6+4642.8</f>
        <v>21867.399999999998</v>
      </c>
      <c r="I29" s="28">
        <v>2000</v>
      </c>
      <c r="J29" s="20">
        <v>0</v>
      </c>
      <c r="K29" s="19">
        <f t="shared" si="8"/>
        <v>24217</v>
      </c>
      <c r="L29" s="28">
        <f>17574.2+4642.8</f>
        <v>22217</v>
      </c>
      <c r="M29" s="28">
        <v>2000</v>
      </c>
      <c r="N29" s="20">
        <v>0</v>
      </c>
    </row>
    <row r="30" spans="1:14" ht="42.75" customHeight="1">
      <c r="A30" s="27" t="s">
        <v>93</v>
      </c>
      <c r="B30" s="21" t="s">
        <v>94</v>
      </c>
      <c r="C30" s="19">
        <f t="shared" si="4"/>
        <v>714.3</v>
      </c>
      <c r="D30" s="28">
        <v>214.3</v>
      </c>
      <c r="E30" s="28">
        <v>500</v>
      </c>
      <c r="F30" s="20">
        <v>0</v>
      </c>
      <c r="G30" s="19">
        <f t="shared" si="6"/>
        <v>0</v>
      </c>
      <c r="H30" s="28"/>
      <c r="I30" s="28"/>
      <c r="J30" s="20"/>
      <c r="K30" s="19">
        <f t="shared" si="8"/>
        <v>0</v>
      </c>
      <c r="L30" s="28"/>
      <c r="M30" s="28"/>
      <c r="N30" s="20"/>
    </row>
    <row r="31" spans="1:14" ht="47.25">
      <c r="A31" s="23" t="s">
        <v>18</v>
      </c>
      <c r="B31" s="29" t="s">
        <v>95</v>
      </c>
      <c r="C31" s="19">
        <f t="shared" ref="C31:C35" si="24">D31+E31+F31</f>
        <v>268632.09999999998</v>
      </c>
      <c r="D31" s="26">
        <f>D32</f>
        <v>252395.59999999998</v>
      </c>
      <c r="E31" s="26">
        <f>E32</f>
        <v>16236.5</v>
      </c>
      <c r="F31" s="20">
        <v>0</v>
      </c>
      <c r="G31" s="19">
        <f t="shared" ref="G31:G35" si="25">H31+I31+J31</f>
        <v>225059.3</v>
      </c>
      <c r="H31" s="26">
        <f>H32</f>
        <v>208822.8</v>
      </c>
      <c r="I31" s="26">
        <f>I32</f>
        <v>16236.5</v>
      </c>
      <c r="J31" s="20">
        <v>0</v>
      </c>
      <c r="K31" s="19">
        <f t="shared" ref="K31:K35" si="26">L31+M31+N31</f>
        <v>225142.19999999998</v>
      </c>
      <c r="L31" s="26">
        <f t="shared" ref="L31:M31" si="27">L32</f>
        <v>208905.69999999998</v>
      </c>
      <c r="M31" s="26">
        <f t="shared" si="27"/>
        <v>16236.5</v>
      </c>
      <c r="N31" s="20">
        <v>0</v>
      </c>
    </row>
    <row r="32" spans="1:14" ht="15.75">
      <c r="A32" s="23" t="s">
        <v>19</v>
      </c>
      <c r="B32" s="39" t="s">
        <v>24</v>
      </c>
      <c r="C32" s="19">
        <f t="shared" si="24"/>
        <v>268632.09999999998</v>
      </c>
      <c r="D32" s="26">
        <f>D33+D35</f>
        <v>252395.59999999998</v>
      </c>
      <c r="E32" s="26">
        <f>E33+E35</f>
        <v>16236.5</v>
      </c>
      <c r="F32" s="20">
        <v>0</v>
      </c>
      <c r="G32" s="19">
        <f t="shared" si="25"/>
        <v>225059.3</v>
      </c>
      <c r="H32" s="26">
        <f>H33+H35</f>
        <v>208822.8</v>
      </c>
      <c r="I32" s="26">
        <f>I33+I35</f>
        <v>16236.5</v>
      </c>
      <c r="J32" s="20">
        <v>0</v>
      </c>
      <c r="K32" s="19">
        <f t="shared" si="26"/>
        <v>225142.19999999998</v>
      </c>
      <c r="L32" s="26">
        <f t="shared" ref="L32:M32" si="28">L33+L35</f>
        <v>208905.69999999998</v>
      </c>
      <c r="M32" s="26">
        <f t="shared" si="28"/>
        <v>16236.5</v>
      </c>
      <c r="N32" s="20">
        <v>0</v>
      </c>
    </row>
    <row r="33" spans="1:14" ht="31.5">
      <c r="A33" s="40" t="s">
        <v>55</v>
      </c>
      <c r="B33" s="41" t="s">
        <v>37</v>
      </c>
      <c r="C33" s="19">
        <f t="shared" si="24"/>
        <v>250357.8</v>
      </c>
      <c r="D33" s="28">
        <f>D34</f>
        <v>250357.8</v>
      </c>
      <c r="E33" s="28">
        <v>0</v>
      </c>
      <c r="F33" s="20">
        <v>0</v>
      </c>
      <c r="G33" s="19">
        <f t="shared" si="25"/>
        <v>206785</v>
      </c>
      <c r="H33" s="28">
        <f>H34</f>
        <v>206785</v>
      </c>
      <c r="I33" s="28">
        <v>0</v>
      </c>
      <c r="J33" s="28">
        <v>0</v>
      </c>
      <c r="K33" s="19">
        <f t="shared" si="26"/>
        <v>206867.9</v>
      </c>
      <c r="L33" s="28">
        <f>L34</f>
        <v>206867.9</v>
      </c>
      <c r="M33" s="28">
        <v>0</v>
      </c>
      <c r="N33" s="20">
        <v>0</v>
      </c>
    </row>
    <row r="34" spans="1:14" ht="31.5">
      <c r="A34" s="40" t="s">
        <v>56</v>
      </c>
      <c r="B34" s="21" t="s">
        <v>49</v>
      </c>
      <c r="C34" s="19">
        <f t="shared" si="24"/>
        <v>250357.8</v>
      </c>
      <c r="D34" s="28">
        <v>250357.8</v>
      </c>
      <c r="E34" s="28">
        <v>0</v>
      </c>
      <c r="F34" s="20">
        <v>0</v>
      </c>
      <c r="G34" s="19">
        <f t="shared" si="25"/>
        <v>206785</v>
      </c>
      <c r="H34" s="28">
        <v>206785</v>
      </c>
      <c r="I34" s="28">
        <v>0</v>
      </c>
      <c r="J34" s="28">
        <v>0</v>
      </c>
      <c r="K34" s="19">
        <f t="shared" si="26"/>
        <v>206867.9</v>
      </c>
      <c r="L34" s="28">
        <v>206867.9</v>
      </c>
      <c r="M34" s="28">
        <v>0</v>
      </c>
      <c r="N34" s="20">
        <v>0</v>
      </c>
    </row>
    <row r="35" spans="1:14" ht="47.25">
      <c r="A35" s="27" t="s">
        <v>57</v>
      </c>
      <c r="B35" s="42" t="s">
        <v>38</v>
      </c>
      <c r="C35" s="19">
        <f t="shared" si="24"/>
        <v>18274.3</v>
      </c>
      <c r="D35" s="28">
        <f>D36</f>
        <v>2037.7999999999997</v>
      </c>
      <c r="E35" s="28">
        <f>E36</f>
        <v>16236.5</v>
      </c>
      <c r="F35" s="20">
        <v>0</v>
      </c>
      <c r="G35" s="19">
        <f t="shared" si="25"/>
        <v>18274.3</v>
      </c>
      <c r="H35" s="28">
        <f>H36</f>
        <v>2037.7999999999997</v>
      </c>
      <c r="I35" s="28">
        <f>I36</f>
        <v>16236.5</v>
      </c>
      <c r="J35" s="28">
        <v>0</v>
      </c>
      <c r="K35" s="19">
        <f t="shared" si="26"/>
        <v>18274.3</v>
      </c>
      <c r="L35" s="28">
        <f>L36</f>
        <v>2037.7999999999997</v>
      </c>
      <c r="M35" s="28">
        <f>M36</f>
        <v>16236.5</v>
      </c>
      <c r="N35" s="20">
        <v>0</v>
      </c>
    </row>
    <row r="36" spans="1:14" ht="47.25">
      <c r="A36" s="27" t="s">
        <v>58</v>
      </c>
      <c r="B36" s="43" t="s">
        <v>39</v>
      </c>
      <c r="C36" s="19">
        <f t="shared" ref="C36" si="29">D36+E36+F36</f>
        <v>18274.3</v>
      </c>
      <c r="D36" s="28">
        <f>1183.3+115.6+738.9</f>
        <v>2037.7999999999997</v>
      </c>
      <c r="E36" s="28">
        <f>2197.2+14039.3</f>
        <v>16236.5</v>
      </c>
      <c r="F36" s="28">
        <v>0</v>
      </c>
      <c r="G36" s="19">
        <f t="shared" ref="G36" si="30">H36+I36+J36</f>
        <v>18274.3</v>
      </c>
      <c r="H36" s="28">
        <f>1183.3+115.6+738.9</f>
        <v>2037.7999999999997</v>
      </c>
      <c r="I36" s="28">
        <f>2197.2+14039.3</f>
        <v>16236.5</v>
      </c>
      <c r="J36" s="28">
        <v>0</v>
      </c>
      <c r="K36" s="19">
        <f t="shared" ref="K36" si="31">L36+M36+N36</f>
        <v>18274.3</v>
      </c>
      <c r="L36" s="28">
        <f>1183.3+115.6+738.9</f>
        <v>2037.7999999999997</v>
      </c>
      <c r="M36" s="28">
        <f>2197.2+14039.3</f>
        <v>16236.5</v>
      </c>
      <c r="N36" s="28">
        <v>0</v>
      </c>
    </row>
    <row r="37" spans="1:14" ht="31.5">
      <c r="A37" s="23" t="s">
        <v>20</v>
      </c>
      <c r="B37" s="29" t="s">
        <v>60</v>
      </c>
      <c r="C37" s="19">
        <f>C38+C40</f>
        <v>120908.3</v>
      </c>
      <c r="D37" s="19">
        <f>D38+D40+D42</f>
        <v>120815.4</v>
      </c>
      <c r="E37" s="19">
        <f t="shared" ref="E37:F37" si="32">E38+E40+E42</f>
        <v>459.29999999999995</v>
      </c>
      <c r="F37" s="19">
        <f t="shared" si="32"/>
        <v>0</v>
      </c>
      <c r="G37" s="19">
        <f>G38+G40</f>
        <v>94110.2</v>
      </c>
      <c r="H37" s="19">
        <f>H38+H40+H42</f>
        <v>93130</v>
      </c>
      <c r="I37" s="19">
        <f t="shared" ref="I37:N37" si="33">I38+I40</f>
        <v>980.2</v>
      </c>
      <c r="J37" s="19">
        <f t="shared" si="33"/>
        <v>0</v>
      </c>
      <c r="K37" s="19">
        <f t="shared" si="33"/>
        <v>93930</v>
      </c>
      <c r="L37" s="19">
        <f t="shared" si="33"/>
        <v>93467.7</v>
      </c>
      <c r="M37" s="19">
        <f t="shared" si="33"/>
        <v>462.3</v>
      </c>
      <c r="N37" s="19">
        <f t="shared" si="33"/>
        <v>0</v>
      </c>
    </row>
    <row r="38" spans="1:14" ht="47.25">
      <c r="A38" s="18" t="s">
        <v>63</v>
      </c>
      <c r="B38" s="44" t="s">
        <v>61</v>
      </c>
      <c r="C38" s="20">
        <f t="shared" ref="C38:C40" si="34">D38+E38+F38</f>
        <v>118410.8</v>
      </c>
      <c r="D38" s="28">
        <f>D39</f>
        <v>117951.5</v>
      </c>
      <c r="E38" s="28">
        <f>E39</f>
        <v>459.29999999999995</v>
      </c>
      <c r="F38" s="28">
        <f>F39</f>
        <v>0</v>
      </c>
      <c r="G38" s="20">
        <f t="shared" ref="G38:G40" si="35">H38+I38+J38</f>
        <v>91612.7</v>
      </c>
      <c r="H38" s="28">
        <f>H39</f>
        <v>90632.5</v>
      </c>
      <c r="I38" s="28">
        <f t="shared" ref="I38:J38" si="36">I39</f>
        <v>980.2</v>
      </c>
      <c r="J38" s="28">
        <f t="shared" si="36"/>
        <v>0</v>
      </c>
      <c r="K38" s="20">
        <f t="shared" ref="K38:K40" si="37">L38+M38+N38</f>
        <v>91432.5</v>
      </c>
      <c r="L38" s="28">
        <f>L39</f>
        <v>90970.2</v>
      </c>
      <c r="M38" s="28">
        <f t="shared" ref="M38:N38" si="38">M39</f>
        <v>462.3</v>
      </c>
      <c r="N38" s="28">
        <f t="shared" si="38"/>
        <v>0</v>
      </c>
    </row>
    <row r="39" spans="1:14" ht="31.5">
      <c r="A39" s="18" t="s">
        <v>66</v>
      </c>
      <c r="B39" s="44" t="s">
        <v>65</v>
      </c>
      <c r="C39" s="20">
        <f>SUM(D39:F39)</f>
        <v>118410.8</v>
      </c>
      <c r="D39" s="28">
        <f>117860+67.3+24.2</f>
        <v>117951.5</v>
      </c>
      <c r="E39" s="28">
        <f>381.2+78.1</f>
        <v>459.29999999999995</v>
      </c>
      <c r="F39" s="28">
        <v>0</v>
      </c>
      <c r="G39" s="20">
        <f>SUM(H39:J39)</f>
        <v>91612.7</v>
      </c>
      <c r="H39" s="28">
        <f>90451.3+156.4+24.8</f>
        <v>90632.5</v>
      </c>
      <c r="I39" s="28">
        <f>886+94.2</f>
        <v>980.2</v>
      </c>
      <c r="J39" s="28">
        <v>0</v>
      </c>
      <c r="K39" s="20">
        <f>SUM(L39:N39)</f>
        <v>91432.5</v>
      </c>
      <c r="L39" s="28">
        <f>90880.4+65+24.8</f>
        <v>90970.2</v>
      </c>
      <c r="M39" s="28">
        <f>368.1+94.2</f>
        <v>462.3</v>
      </c>
      <c r="N39" s="28">
        <v>0</v>
      </c>
    </row>
    <row r="40" spans="1:14" ht="47.25">
      <c r="A40" s="18" t="s">
        <v>64</v>
      </c>
      <c r="B40" s="45" t="s">
        <v>62</v>
      </c>
      <c r="C40" s="20">
        <f t="shared" si="34"/>
        <v>2497.5</v>
      </c>
      <c r="D40" s="28">
        <f>D41</f>
        <v>2497.5</v>
      </c>
      <c r="E40" s="28">
        <f t="shared" ref="E40:F40" si="39">E41</f>
        <v>0</v>
      </c>
      <c r="F40" s="28">
        <f t="shared" si="39"/>
        <v>0</v>
      </c>
      <c r="G40" s="20">
        <f t="shared" si="35"/>
        <v>2497.5</v>
      </c>
      <c r="H40" s="28">
        <f>H41</f>
        <v>2497.5</v>
      </c>
      <c r="I40" s="28">
        <v>0</v>
      </c>
      <c r="J40" s="28">
        <v>0</v>
      </c>
      <c r="K40" s="20">
        <f t="shared" si="37"/>
        <v>2497.5</v>
      </c>
      <c r="L40" s="28">
        <f>L41</f>
        <v>2497.5</v>
      </c>
      <c r="M40" s="28">
        <v>0</v>
      </c>
      <c r="N40" s="28">
        <v>0</v>
      </c>
    </row>
    <row r="41" spans="1:14" ht="31.5">
      <c r="A41" s="18" t="s">
        <v>68</v>
      </c>
      <c r="B41" s="43" t="s">
        <v>67</v>
      </c>
      <c r="C41" s="20">
        <f t="shared" ref="C41:C51" si="40">SUM(D41:F41)</f>
        <v>2497.5</v>
      </c>
      <c r="D41" s="28">
        <v>2497.5</v>
      </c>
      <c r="E41" s="28">
        <v>0</v>
      </c>
      <c r="F41" s="28">
        <v>0</v>
      </c>
      <c r="G41" s="20">
        <f t="shared" ref="G41" si="41">H41+I41+J41</f>
        <v>2497.5</v>
      </c>
      <c r="H41" s="28">
        <v>2497.5</v>
      </c>
      <c r="I41" s="28">
        <v>0</v>
      </c>
      <c r="J41" s="28">
        <v>0</v>
      </c>
      <c r="K41" s="20">
        <f t="shared" ref="K41" si="42">L41+M41+N41</f>
        <v>2497.5</v>
      </c>
      <c r="L41" s="28">
        <v>2497.5</v>
      </c>
      <c r="M41" s="28">
        <v>0</v>
      </c>
      <c r="N41" s="28">
        <v>0</v>
      </c>
    </row>
    <row r="42" spans="1:14" ht="15.75">
      <c r="A42" s="18" t="s">
        <v>96</v>
      </c>
      <c r="B42" s="43" t="s">
        <v>97</v>
      </c>
      <c r="C42" s="20">
        <f t="shared" si="40"/>
        <v>366.4</v>
      </c>
      <c r="D42" s="28">
        <v>366.4</v>
      </c>
      <c r="E42" s="28">
        <v>0</v>
      </c>
      <c r="F42" s="28">
        <v>0</v>
      </c>
      <c r="G42" s="20">
        <f>SUM(H42:J42)</f>
        <v>0</v>
      </c>
      <c r="H42" s="28">
        <v>0</v>
      </c>
      <c r="I42" s="28">
        <v>0</v>
      </c>
      <c r="J42" s="28">
        <v>0</v>
      </c>
      <c r="K42" s="20">
        <f>SUM(L42:N42)</f>
        <v>0</v>
      </c>
      <c r="L42" s="28">
        <v>0</v>
      </c>
      <c r="M42" s="28">
        <v>0</v>
      </c>
      <c r="N42" s="28">
        <v>0</v>
      </c>
    </row>
    <row r="43" spans="1:14" s="15" customFormat="1" ht="47.25">
      <c r="A43" s="46" t="s">
        <v>59</v>
      </c>
      <c r="B43" s="47" t="s">
        <v>102</v>
      </c>
      <c r="C43" s="33">
        <f>SUM(D43:F43)</f>
        <v>80657.7</v>
      </c>
      <c r="D43" s="48">
        <f>D44+D45+D46</f>
        <v>4026.5</v>
      </c>
      <c r="E43" s="48">
        <f t="shared" ref="E43:F43" si="43">E44+E45+E46</f>
        <v>76631.199999999997</v>
      </c>
      <c r="F43" s="48">
        <f t="shared" si="43"/>
        <v>0</v>
      </c>
      <c r="G43" s="48">
        <f>SUM(H43:J43)</f>
        <v>81369.599999999991</v>
      </c>
      <c r="H43" s="48">
        <f>H44+H45+H46</f>
        <v>4183.8999999999996</v>
      </c>
      <c r="I43" s="48">
        <f t="shared" ref="I43:J43" si="44">I44+I45+I46</f>
        <v>77185.7</v>
      </c>
      <c r="J43" s="48">
        <f t="shared" si="44"/>
        <v>0</v>
      </c>
      <c r="K43" s="48">
        <f>SUM(L43:N43)</f>
        <v>81369.599999999991</v>
      </c>
      <c r="L43" s="48">
        <f>L44+L45+L46</f>
        <v>4183.8999999999996</v>
      </c>
      <c r="M43" s="48">
        <f t="shared" ref="M43:N43" si="45">M44+M45+M46</f>
        <v>77185.7</v>
      </c>
      <c r="N43" s="48">
        <f t="shared" si="45"/>
        <v>0</v>
      </c>
    </row>
    <row r="44" spans="1:14" s="15" customFormat="1" ht="31.5">
      <c r="A44" s="31" t="s">
        <v>72</v>
      </c>
      <c r="B44" s="49" t="s">
        <v>53</v>
      </c>
      <c r="C44" s="33">
        <f t="shared" ref="C44" si="46">D44+E44+F44</f>
        <v>25781.200000000001</v>
      </c>
      <c r="D44" s="50">
        <v>1392.7</v>
      </c>
      <c r="E44" s="50">
        <v>24388.5</v>
      </c>
      <c r="F44" s="50">
        <v>0</v>
      </c>
      <c r="G44" s="33">
        <f t="shared" ref="G44" si="47">H44+I44+J44</f>
        <v>28693.1</v>
      </c>
      <c r="H44" s="50">
        <v>1550.1</v>
      </c>
      <c r="I44" s="50">
        <v>27143</v>
      </c>
      <c r="J44" s="50">
        <v>0</v>
      </c>
      <c r="K44" s="33">
        <f t="shared" ref="K44" si="48">L44+M44+N44</f>
        <v>28693.1</v>
      </c>
      <c r="L44" s="50">
        <v>1550.1</v>
      </c>
      <c r="M44" s="50">
        <v>27143</v>
      </c>
      <c r="N44" s="50">
        <v>0</v>
      </c>
    </row>
    <row r="45" spans="1:14" s="15" customFormat="1" ht="47.25">
      <c r="A45" s="31" t="s">
        <v>84</v>
      </c>
      <c r="B45" s="49" t="s">
        <v>79</v>
      </c>
      <c r="C45" s="33">
        <f>SUM(D45:F45)</f>
        <v>2200</v>
      </c>
      <c r="D45" s="50">
        <v>0</v>
      </c>
      <c r="E45" s="50">
        <v>2200</v>
      </c>
      <c r="F45" s="50">
        <v>0</v>
      </c>
      <c r="G45" s="33">
        <f>SUM(H45:J45)</f>
        <v>0</v>
      </c>
      <c r="H45" s="50">
        <v>0</v>
      </c>
      <c r="I45" s="50">
        <v>0</v>
      </c>
      <c r="J45" s="50">
        <v>0</v>
      </c>
      <c r="K45" s="33">
        <f>SUM(L45:N45)</f>
        <v>0</v>
      </c>
      <c r="L45" s="50">
        <v>0</v>
      </c>
      <c r="M45" s="50">
        <v>0</v>
      </c>
      <c r="N45" s="50">
        <v>0</v>
      </c>
    </row>
    <row r="46" spans="1:14" s="15" customFormat="1" ht="31.5">
      <c r="A46" s="31" t="s">
        <v>98</v>
      </c>
      <c r="B46" s="49" t="s">
        <v>99</v>
      </c>
      <c r="C46" s="33">
        <f>SUM(D46:F46)</f>
        <v>52676.5</v>
      </c>
      <c r="D46" s="50">
        <v>2633.8</v>
      </c>
      <c r="E46" s="50">
        <v>50042.7</v>
      </c>
      <c r="F46" s="50">
        <v>0</v>
      </c>
      <c r="G46" s="33">
        <f>SUM(H46:J46)</f>
        <v>52676.5</v>
      </c>
      <c r="H46" s="50">
        <v>2633.8</v>
      </c>
      <c r="I46" s="50">
        <v>50042.7</v>
      </c>
      <c r="J46" s="50">
        <v>0</v>
      </c>
      <c r="K46" s="33">
        <f>SUM(L46:N46)</f>
        <v>52676.5</v>
      </c>
      <c r="L46" s="50">
        <v>2633.8</v>
      </c>
      <c r="M46" s="50">
        <v>50042.7</v>
      </c>
      <c r="N46" s="50">
        <v>0</v>
      </c>
    </row>
    <row r="47" spans="1:14" ht="63">
      <c r="A47" s="23" t="s">
        <v>69</v>
      </c>
      <c r="B47" s="29" t="s">
        <v>103</v>
      </c>
      <c r="C47" s="19">
        <f t="shared" si="40"/>
        <v>6</v>
      </c>
      <c r="D47" s="26">
        <f>D48</f>
        <v>6</v>
      </c>
      <c r="E47" s="28">
        <v>0</v>
      </c>
      <c r="F47" s="28">
        <v>0</v>
      </c>
      <c r="G47" s="19">
        <f t="shared" ref="G47:G51" si="49">SUM(H47:J47)</f>
        <v>6</v>
      </c>
      <c r="H47" s="26">
        <f>H48</f>
        <v>6</v>
      </c>
      <c r="I47" s="28">
        <v>0</v>
      </c>
      <c r="J47" s="28">
        <v>0</v>
      </c>
      <c r="K47" s="19">
        <f t="shared" ref="K47:K51" si="50">SUM(L47:N47)</f>
        <v>6</v>
      </c>
      <c r="L47" s="26">
        <f>L48</f>
        <v>6</v>
      </c>
      <c r="M47" s="28">
        <v>0</v>
      </c>
      <c r="N47" s="28">
        <v>0</v>
      </c>
    </row>
    <row r="48" spans="1:14" ht="31.5">
      <c r="A48" s="18" t="s">
        <v>70</v>
      </c>
      <c r="B48" s="43" t="s">
        <v>71</v>
      </c>
      <c r="C48" s="19">
        <f t="shared" si="40"/>
        <v>6</v>
      </c>
      <c r="D48" s="28">
        <v>6</v>
      </c>
      <c r="E48" s="28">
        <v>0</v>
      </c>
      <c r="F48" s="28">
        <v>0</v>
      </c>
      <c r="G48" s="19">
        <f t="shared" si="49"/>
        <v>6</v>
      </c>
      <c r="H48" s="28">
        <v>6</v>
      </c>
      <c r="I48" s="28">
        <v>0</v>
      </c>
      <c r="J48" s="28">
        <v>0</v>
      </c>
      <c r="K48" s="19">
        <f t="shared" si="50"/>
        <v>6</v>
      </c>
      <c r="L48" s="28">
        <v>6</v>
      </c>
      <c r="M48" s="28">
        <v>0</v>
      </c>
      <c r="N48" s="28">
        <v>0</v>
      </c>
    </row>
    <row r="49" spans="1:14" ht="33" customHeight="1">
      <c r="A49" s="23" t="s">
        <v>73</v>
      </c>
      <c r="B49" s="29" t="s">
        <v>104</v>
      </c>
      <c r="C49" s="19">
        <f t="shared" si="40"/>
        <v>150</v>
      </c>
      <c r="D49" s="26">
        <f>D50</f>
        <v>150</v>
      </c>
      <c r="E49" s="26">
        <v>0</v>
      </c>
      <c r="F49" s="26">
        <v>0</v>
      </c>
      <c r="G49" s="19">
        <f t="shared" si="49"/>
        <v>150</v>
      </c>
      <c r="H49" s="26">
        <f>H50</f>
        <v>150</v>
      </c>
      <c r="I49" s="26">
        <v>0</v>
      </c>
      <c r="J49" s="26">
        <v>0</v>
      </c>
      <c r="K49" s="19">
        <f t="shared" si="50"/>
        <v>150</v>
      </c>
      <c r="L49" s="26">
        <f>L50</f>
        <v>150</v>
      </c>
      <c r="M49" s="26">
        <v>0</v>
      </c>
      <c r="N49" s="26">
        <v>0</v>
      </c>
    </row>
    <row r="50" spans="1:14" ht="15.75">
      <c r="A50" s="18" t="s">
        <v>74</v>
      </c>
      <c r="B50" s="43" t="s">
        <v>100</v>
      </c>
      <c r="C50" s="19">
        <f t="shared" si="40"/>
        <v>150</v>
      </c>
      <c r="D50" s="28">
        <f>D51</f>
        <v>150</v>
      </c>
      <c r="E50" s="28">
        <v>0</v>
      </c>
      <c r="F50" s="28">
        <v>0</v>
      </c>
      <c r="G50" s="19">
        <f t="shared" si="49"/>
        <v>150</v>
      </c>
      <c r="H50" s="28">
        <f>H51</f>
        <v>150</v>
      </c>
      <c r="I50" s="28">
        <v>0</v>
      </c>
      <c r="J50" s="28">
        <v>0</v>
      </c>
      <c r="K50" s="19">
        <f t="shared" si="50"/>
        <v>150</v>
      </c>
      <c r="L50" s="28">
        <f>L51</f>
        <v>150</v>
      </c>
      <c r="M50" s="28">
        <v>0</v>
      </c>
      <c r="N50" s="28">
        <v>0</v>
      </c>
    </row>
    <row r="51" spans="1:14" ht="47.25">
      <c r="A51" s="18" t="s">
        <v>85</v>
      </c>
      <c r="B51" s="43" t="s">
        <v>101</v>
      </c>
      <c r="C51" s="19">
        <f t="shared" si="40"/>
        <v>150</v>
      </c>
      <c r="D51" s="28">
        <v>150</v>
      </c>
      <c r="E51" s="28">
        <v>0</v>
      </c>
      <c r="F51" s="28">
        <v>0</v>
      </c>
      <c r="G51" s="19">
        <f t="shared" si="49"/>
        <v>150</v>
      </c>
      <c r="H51" s="28">
        <v>150</v>
      </c>
      <c r="I51" s="28">
        <v>0</v>
      </c>
      <c r="J51" s="28">
        <v>0</v>
      </c>
      <c r="K51" s="19">
        <f t="shared" si="50"/>
        <v>150</v>
      </c>
      <c r="L51" s="28">
        <v>150</v>
      </c>
      <c r="M51" s="28">
        <v>0</v>
      </c>
      <c r="N51" s="28">
        <v>0</v>
      </c>
    </row>
    <row r="52" spans="1:14" s="15" customFormat="1" ht="31.5">
      <c r="A52" s="46" t="s">
        <v>75</v>
      </c>
      <c r="B52" s="47" t="s">
        <v>105</v>
      </c>
      <c r="C52" s="33">
        <f>D52+E52+F52</f>
        <v>18984</v>
      </c>
      <c r="D52" s="48">
        <f>D53</f>
        <v>18984</v>
      </c>
      <c r="E52" s="48">
        <f t="shared" ref="E52:N52" si="51">E53</f>
        <v>0</v>
      </c>
      <c r="F52" s="48">
        <f t="shared" si="51"/>
        <v>0</v>
      </c>
      <c r="G52" s="48">
        <f t="shared" si="51"/>
        <v>18984</v>
      </c>
      <c r="H52" s="48">
        <f t="shared" si="51"/>
        <v>18984</v>
      </c>
      <c r="I52" s="48">
        <f t="shared" si="51"/>
        <v>0</v>
      </c>
      <c r="J52" s="48">
        <f t="shared" si="51"/>
        <v>0</v>
      </c>
      <c r="K52" s="48">
        <f t="shared" si="51"/>
        <v>18984</v>
      </c>
      <c r="L52" s="48">
        <f t="shared" si="51"/>
        <v>18984</v>
      </c>
      <c r="M52" s="48">
        <f t="shared" si="51"/>
        <v>0</v>
      </c>
      <c r="N52" s="48">
        <f t="shared" si="51"/>
        <v>0</v>
      </c>
    </row>
    <row r="53" spans="1:14" s="15" customFormat="1" ht="47.25">
      <c r="A53" s="51" t="s">
        <v>76</v>
      </c>
      <c r="B53" s="49" t="s">
        <v>54</v>
      </c>
      <c r="C53" s="33">
        <f t="shared" ref="C53" si="52">D53+E53+F53</f>
        <v>18984</v>
      </c>
      <c r="D53" s="50">
        <v>18984</v>
      </c>
      <c r="E53" s="50">
        <v>0</v>
      </c>
      <c r="F53" s="50">
        <v>0</v>
      </c>
      <c r="G53" s="33">
        <f t="shared" ref="G53" si="53">H53+I53+J53</f>
        <v>18984</v>
      </c>
      <c r="H53" s="50">
        <v>18984</v>
      </c>
      <c r="I53" s="50">
        <v>0</v>
      </c>
      <c r="J53" s="50">
        <v>0</v>
      </c>
      <c r="K53" s="33">
        <f>SUM(L53:N53)</f>
        <v>18984</v>
      </c>
      <c r="L53" s="50">
        <v>18984</v>
      </c>
      <c r="M53" s="50">
        <v>0</v>
      </c>
      <c r="N53" s="50">
        <v>0</v>
      </c>
    </row>
    <row r="54" spans="1:14" s="15" customFormat="1" ht="31.5">
      <c r="A54" s="52" t="s">
        <v>77</v>
      </c>
      <c r="B54" s="53" t="s">
        <v>106</v>
      </c>
      <c r="C54" s="33">
        <f>SUM(D54:F54)</f>
        <v>6</v>
      </c>
      <c r="D54" s="33">
        <f>D55</f>
        <v>6</v>
      </c>
      <c r="E54" s="33">
        <f t="shared" ref="E54:N54" si="54">E55</f>
        <v>0</v>
      </c>
      <c r="F54" s="33">
        <f t="shared" si="54"/>
        <v>0</v>
      </c>
      <c r="G54" s="33">
        <f>SUM(H54:J54)</f>
        <v>6</v>
      </c>
      <c r="H54" s="33">
        <f t="shared" si="54"/>
        <v>6</v>
      </c>
      <c r="I54" s="33">
        <f t="shared" si="54"/>
        <v>0</v>
      </c>
      <c r="J54" s="33">
        <f t="shared" si="54"/>
        <v>0</v>
      </c>
      <c r="K54" s="33">
        <f>SUM(L54:N54)</f>
        <v>6</v>
      </c>
      <c r="L54" s="33">
        <f t="shared" si="54"/>
        <v>6</v>
      </c>
      <c r="M54" s="33">
        <f t="shared" si="54"/>
        <v>0</v>
      </c>
      <c r="N54" s="33">
        <f t="shared" si="54"/>
        <v>0</v>
      </c>
    </row>
    <row r="55" spans="1:14" s="15" customFormat="1" ht="47.25">
      <c r="A55" s="31" t="s">
        <v>78</v>
      </c>
      <c r="B55" s="37" t="s">
        <v>81</v>
      </c>
      <c r="C55" s="34">
        <f t="shared" ref="C55" si="55">D55+E55+F55</f>
        <v>6</v>
      </c>
      <c r="D55" s="50">
        <v>6</v>
      </c>
      <c r="E55" s="50">
        <v>0</v>
      </c>
      <c r="F55" s="50">
        <v>0</v>
      </c>
      <c r="G55" s="34">
        <f t="shared" ref="G55" si="56">H55+I55+J55</f>
        <v>6</v>
      </c>
      <c r="H55" s="50">
        <v>6</v>
      </c>
      <c r="I55" s="50">
        <v>0</v>
      </c>
      <c r="J55" s="50">
        <v>0</v>
      </c>
      <c r="K55" s="34">
        <f t="shared" ref="K55" si="57">L55+M55+N55</f>
        <v>6</v>
      </c>
      <c r="L55" s="50">
        <v>6</v>
      </c>
      <c r="M55" s="50">
        <v>0</v>
      </c>
      <c r="N55" s="50">
        <v>0</v>
      </c>
    </row>
  </sheetData>
  <mergeCells count="15">
    <mergeCell ref="A9:B9"/>
    <mergeCell ref="L1:N1"/>
    <mergeCell ref="A5:A7"/>
    <mergeCell ref="B5:B7"/>
    <mergeCell ref="C5:F5"/>
    <mergeCell ref="G5:J5"/>
    <mergeCell ref="K5:N5"/>
    <mergeCell ref="C6:C7"/>
    <mergeCell ref="G6:G7"/>
    <mergeCell ref="D6:F6"/>
    <mergeCell ref="H6:J6"/>
    <mergeCell ref="L6:N6"/>
    <mergeCell ref="K6:K7"/>
    <mergeCell ref="A3:N3"/>
    <mergeCell ref="L2:N2"/>
  </mergeCells>
  <pageMargins left="0.19685039370078741" right="0.11811023622047245" top="0.39370078740157483" bottom="0.15748031496062992" header="0.31496062992125984" footer="0.31496062992125984"/>
  <pageSetup paperSize="9" scale="55" firstPageNumber="284" fitToHeight="2" orientation="landscape" useFirstPageNumber="1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50"/>
  <sheetViews>
    <sheetView tabSelected="1" zoomScale="80" zoomScaleNormal="80" workbookViewId="0">
      <selection activeCell="P44" sqref="P44"/>
    </sheetView>
  </sheetViews>
  <sheetFormatPr defaultRowHeight="15"/>
  <cols>
    <col min="1" max="1" width="9.5703125" style="7" customWidth="1"/>
    <col min="2" max="2" width="66.5703125" style="7" customWidth="1"/>
    <col min="3" max="3" width="14.7109375" style="17" customWidth="1"/>
    <col min="4" max="5" width="14.7109375" style="1" customWidth="1"/>
    <col min="6" max="6" width="14" style="1" customWidth="1"/>
    <col min="7" max="7" width="14.7109375" style="17" customWidth="1"/>
    <col min="8" max="9" width="14.7109375" style="1" customWidth="1"/>
    <col min="10" max="10" width="14" style="1" customWidth="1"/>
    <col min="11" max="11" width="14.7109375" style="17" customWidth="1"/>
    <col min="12" max="13" width="14.7109375" style="1" customWidth="1"/>
    <col min="14" max="14" width="14" style="1" customWidth="1"/>
    <col min="15" max="15" width="14.85546875" style="1" customWidth="1"/>
    <col min="16" max="16" width="12.85546875" style="1" customWidth="1"/>
    <col min="17" max="25" width="14.28515625" style="1" customWidth="1"/>
    <col min="26" max="26" width="13.5703125" style="1" customWidth="1"/>
    <col min="27" max="16384" width="9.140625" style="1"/>
  </cols>
  <sheetData>
    <row r="1" spans="1:15" ht="15.75">
      <c r="A1" s="6"/>
      <c r="B1" s="6"/>
      <c r="C1" s="60"/>
      <c r="D1" s="2"/>
      <c r="E1" s="2"/>
      <c r="F1" s="2"/>
      <c r="G1" s="60"/>
      <c r="H1" s="2"/>
      <c r="I1" s="2"/>
      <c r="J1" s="2"/>
      <c r="K1" s="60"/>
      <c r="L1" s="69" t="s">
        <v>107</v>
      </c>
      <c r="M1" s="69"/>
      <c r="N1" s="69"/>
      <c r="O1" s="4"/>
    </row>
    <row r="2" spans="1:15" ht="15.75">
      <c r="A2" s="6"/>
      <c r="B2" s="6"/>
      <c r="C2" s="60"/>
      <c r="D2" s="2"/>
      <c r="E2" s="2"/>
      <c r="F2" s="2"/>
      <c r="G2" s="60"/>
      <c r="H2" s="2"/>
      <c r="I2" s="2"/>
      <c r="J2" s="2"/>
      <c r="K2" s="60"/>
      <c r="L2" s="69" t="s">
        <v>80</v>
      </c>
      <c r="M2" s="69"/>
      <c r="N2" s="69"/>
      <c r="O2" s="4"/>
    </row>
    <row r="3" spans="1:15" ht="31.5" customHeight="1">
      <c r="A3" s="74" t="s">
        <v>108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56"/>
    </row>
    <row r="4" spans="1:15" ht="25.5" customHeight="1">
      <c r="A4" s="6"/>
      <c r="B4" s="6"/>
      <c r="C4" s="61"/>
      <c r="D4" s="3"/>
      <c r="E4" s="3"/>
      <c r="F4" s="3"/>
      <c r="G4" s="61"/>
      <c r="H4" s="3"/>
      <c r="I4" s="3"/>
      <c r="J4" s="3"/>
      <c r="K4" s="61"/>
      <c r="L4" s="3"/>
      <c r="M4" s="3"/>
      <c r="N4" s="3" t="s">
        <v>35</v>
      </c>
      <c r="O4" s="3"/>
    </row>
    <row r="5" spans="1:15" s="9" customFormat="1" ht="14.25" customHeight="1">
      <c r="A5" s="70" t="s">
        <v>0</v>
      </c>
      <c r="B5" s="70" t="s">
        <v>1</v>
      </c>
      <c r="C5" s="70" t="s">
        <v>90</v>
      </c>
      <c r="D5" s="70"/>
      <c r="E5" s="70"/>
      <c r="F5" s="70"/>
      <c r="G5" s="70" t="s">
        <v>88</v>
      </c>
      <c r="H5" s="70"/>
      <c r="I5" s="70"/>
      <c r="J5" s="70"/>
      <c r="K5" s="70" t="s">
        <v>113</v>
      </c>
      <c r="L5" s="70"/>
      <c r="M5" s="70"/>
      <c r="N5" s="70"/>
      <c r="O5" s="8"/>
    </row>
    <row r="6" spans="1:15" s="9" customFormat="1" ht="16.5" customHeight="1">
      <c r="A6" s="70"/>
      <c r="B6" s="70"/>
      <c r="C6" s="75" t="s">
        <v>2</v>
      </c>
      <c r="D6" s="71" t="s">
        <v>3</v>
      </c>
      <c r="E6" s="72"/>
      <c r="F6" s="73"/>
      <c r="G6" s="75" t="s">
        <v>2</v>
      </c>
      <c r="H6" s="71" t="s">
        <v>3</v>
      </c>
      <c r="I6" s="72"/>
      <c r="J6" s="73"/>
      <c r="K6" s="75" t="s">
        <v>2</v>
      </c>
      <c r="L6" s="71" t="s">
        <v>3</v>
      </c>
      <c r="M6" s="72"/>
      <c r="N6" s="73"/>
      <c r="O6" s="8"/>
    </row>
    <row r="7" spans="1:15" s="9" customFormat="1" ht="67.5" customHeight="1">
      <c r="A7" s="70"/>
      <c r="B7" s="70"/>
      <c r="C7" s="75"/>
      <c r="D7" s="55" t="s">
        <v>48</v>
      </c>
      <c r="E7" s="55" t="s">
        <v>4</v>
      </c>
      <c r="F7" s="55" t="s">
        <v>5</v>
      </c>
      <c r="G7" s="75"/>
      <c r="H7" s="55" t="s">
        <v>48</v>
      </c>
      <c r="I7" s="55" t="s">
        <v>4</v>
      </c>
      <c r="J7" s="55" t="s">
        <v>5</v>
      </c>
      <c r="K7" s="75"/>
      <c r="L7" s="55" t="s">
        <v>48</v>
      </c>
      <c r="M7" s="55" t="s">
        <v>4</v>
      </c>
      <c r="N7" s="55" t="s">
        <v>5</v>
      </c>
      <c r="O7" s="8"/>
    </row>
    <row r="8" spans="1:15" s="13" customFormat="1" ht="12.75">
      <c r="A8" s="11">
        <v>1</v>
      </c>
      <c r="B8" s="11">
        <v>2</v>
      </c>
      <c r="C8" s="62">
        <v>3</v>
      </c>
      <c r="D8" s="11">
        <v>4</v>
      </c>
      <c r="E8" s="11">
        <v>5</v>
      </c>
      <c r="F8" s="11">
        <v>6</v>
      </c>
      <c r="G8" s="62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1">
        <v>13</v>
      </c>
      <c r="N8" s="11">
        <v>14</v>
      </c>
      <c r="O8" s="12"/>
    </row>
    <row r="9" spans="1:15" s="17" customFormat="1" ht="27.75" customHeight="1">
      <c r="A9" s="68" t="s">
        <v>27</v>
      </c>
      <c r="B9" s="68"/>
      <c r="C9" s="19">
        <f>SUM(D9:F9)</f>
        <v>3220135.3</v>
      </c>
      <c r="D9" s="54">
        <f>D10+D27+D34+D40+D44+D46</f>
        <v>1238681.7</v>
      </c>
      <c r="E9" s="54">
        <f t="shared" ref="E9:N9" si="0">E10+E27+E34+E40+E44+E46</f>
        <v>1965056.3</v>
      </c>
      <c r="F9" s="54">
        <f t="shared" si="0"/>
        <v>16397.3</v>
      </c>
      <c r="G9" s="54">
        <f t="shared" si="0"/>
        <v>2969604.7</v>
      </c>
      <c r="H9" s="54">
        <f t="shared" si="0"/>
        <v>1034021.3999999999</v>
      </c>
      <c r="I9" s="54">
        <f t="shared" si="0"/>
        <v>1923130.7</v>
      </c>
      <c r="J9" s="54">
        <f t="shared" si="0"/>
        <v>12452.6</v>
      </c>
      <c r="K9" s="54">
        <f t="shared" si="0"/>
        <v>3007889.1999999997</v>
      </c>
      <c r="L9" s="54">
        <f t="shared" si="0"/>
        <v>1051755.6000000001</v>
      </c>
      <c r="M9" s="54">
        <f t="shared" si="0"/>
        <v>1945476.4999999998</v>
      </c>
      <c r="N9" s="54">
        <f t="shared" si="0"/>
        <v>10657.1</v>
      </c>
      <c r="O9" s="16"/>
    </row>
    <row r="10" spans="1:15" s="58" customFormat="1" ht="33.75" customHeight="1">
      <c r="A10" s="23" t="s">
        <v>6</v>
      </c>
      <c r="B10" s="29" t="s">
        <v>114</v>
      </c>
      <c r="C10" s="19">
        <f>D10+E10+F10</f>
        <v>2418139.1</v>
      </c>
      <c r="D10" s="19">
        <f>D11+D24</f>
        <v>537345.89999999991</v>
      </c>
      <c r="E10" s="19">
        <f t="shared" ref="E10:N10" si="1">E11+E24</f>
        <v>1866681.1</v>
      </c>
      <c r="F10" s="19">
        <f t="shared" si="1"/>
        <v>14112.1</v>
      </c>
      <c r="G10" s="19">
        <f t="shared" si="1"/>
        <v>2195497.3000000003</v>
      </c>
      <c r="H10" s="19">
        <f t="shared" si="1"/>
        <v>360546.8</v>
      </c>
      <c r="I10" s="19">
        <f t="shared" si="1"/>
        <v>1822548.0999999999</v>
      </c>
      <c r="J10" s="19">
        <f t="shared" si="1"/>
        <v>12402.4</v>
      </c>
      <c r="K10" s="19">
        <f t="shared" si="1"/>
        <v>2190662</v>
      </c>
      <c r="L10" s="19">
        <f t="shared" si="1"/>
        <v>361009.6</v>
      </c>
      <c r="M10" s="19">
        <f t="shared" si="1"/>
        <v>1819040.4999999998</v>
      </c>
      <c r="N10" s="19">
        <f t="shared" si="1"/>
        <v>10611.9</v>
      </c>
      <c r="O10" s="57"/>
    </row>
    <row r="11" spans="1:15" s="9" customFormat="1" ht="22.5" customHeight="1">
      <c r="A11" s="23" t="s">
        <v>7</v>
      </c>
      <c r="B11" s="30" t="s">
        <v>83</v>
      </c>
      <c r="C11" s="19">
        <f t="shared" ref="C11:C33" si="2">D11+E11+F11</f>
        <v>2383817.1</v>
      </c>
      <c r="D11" s="19">
        <f>D12+D15+D18+D20</f>
        <v>530052.69999999995</v>
      </c>
      <c r="E11" s="19">
        <f t="shared" ref="E11:N11" si="3">E12+E15+E18+E20</f>
        <v>1839652.3</v>
      </c>
      <c r="F11" s="19">
        <f t="shared" si="3"/>
        <v>14112.1</v>
      </c>
      <c r="G11" s="19">
        <f t="shared" si="3"/>
        <v>2161175.3000000003</v>
      </c>
      <c r="H11" s="19">
        <f t="shared" si="3"/>
        <v>353253.6</v>
      </c>
      <c r="I11" s="19">
        <f t="shared" si="3"/>
        <v>1795519.2999999998</v>
      </c>
      <c r="J11" s="19">
        <f t="shared" si="3"/>
        <v>12402.4</v>
      </c>
      <c r="K11" s="19">
        <f t="shared" si="3"/>
        <v>2156340</v>
      </c>
      <c r="L11" s="19">
        <f t="shared" si="3"/>
        <v>353716.39999999997</v>
      </c>
      <c r="M11" s="19">
        <f t="shared" si="3"/>
        <v>1792011.6999999997</v>
      </c>
      <c r="N11" s="19">
        <f t="shared" si="3"/>
        <v>10611.9</v>
      </c>
      <c r="O11" s="57"/>
    </row>
    <row r="12" spans="1:15" s="9" customFormat="1" ht="31.5">
      <c r="A12" s="18" t="s">
        <v>9</v>
      </c>
      <c r="B12" s="63" t="s">
        <v>8</v>
      </c>
      <c r="C12" s="19">
        <f t="shared" si="2"/>
        <v>893891.1</v>
      </c>
      <c r="D12" s="20">
        <f>D13+D14</f>
        <v>200495.9</v>
      </c>
      <c r="E12" s="20">
        <f t="shared" ref="E12:N12" si="4">E13+E14</f>
        <v>693395.2</v>
      </c>
      <c r="F12" s="20">
        <f t="shared" si="4"/>
        <v>0</v>
      </c>
      <c r="G12" s="20">
        <f t="shared" si="4"/>
        <v>763320.1</v>
      </c>
      <c r="H12" s="20">
        <f t="shared" si="4"/>
        <v>117850.59999999999</v>
      </c>
      <c r="I12" s="20">
        <f t="shared" si="4"/>
        <v>645469.5</v>
      </c>
      <c r="J12" s="20">
        <f t="shared" si="4"/>
        <v>0</v>
      </c>
      <c r="K12" s="20">
        <f t="shared" si="4"/>
        <v>762053.7</v>
      </c>
      <c r="L12" s="20">
        <f t="shared" si="4"/>
        <v>116584.2</v>
      </c>
      <c r="M12" s="20">
        <f t="shared" si="4"/>
        <v>645469.5</v>
      </c>
      <c r="N12" s="20">
        <f t="shared" si="4"/>
        <v>0</v>
      </c>
      <c r="O12" s="59"/>
    </row>
    <row r="13" spans="1:15" s="9" customFormat="1" ht="15.75">
      <c r="A13" s="18" t="s">
        <v>111</v>
      </c>
      <c r="B13" s="63" t="s">
        <v>110</v>
      </c>
      <c r="C13" s="19">
        <f t="shared" si="2"/>
        <v>0</v>
      </c>
      <c r="D13" s="20">
        <v>0</v>
      </c>
      <c r="E13" s="20">
        <v>0</v>
      </c>
      <c r="F13" s="20">
        <v>0</v>
      </c>
      <c r="G13" s="19">
        <f t="shared" ref="G13:G33" si="5">H13+I13+J13</f>
        <v>7380.7</v>
      </c>
      <c r="H13" s="20">
        <v>7380.7</v>
      </c>
      <c r="I13" s="20">
        <v>0</v>
      </c>
      <c r="J13" s="20">
        <v>0</v>
      </c>
      <c r="K13" s="19">
        <f t="shared" ref="K13:K33" si="6">L13+M13+N13</f>
        <v>0</v>
      </c>
      <c r="L13" s="20">
        <v>0</v>
      </c>
      <c r="M13" s="20">
        <v>0</v>
      </c>
      <c r="N13" s="20">
        <v>0</v>
      </c>
      <c r="O13" s="59"/>
    </row>
    <row r="14" spans="1:15" s="9" customFormat="1" ht="31.5">
      <c r="A14" s="18" t="s">
        <v>31</v>
      </c>
      <c r="B14" s="63" t="s">
        <v>28</v>
      </c>
      <c r="C14" s="19">
        <f t="shared" si="2"/>
        <v>893891.1</v>
      </c>
      <c r="D14" s="20">
        <v>200495.9</v>
      </c>
      <c r="E14" s="20">
        <v>693395.2</v>
      </c>
      <c r="F14" s="20">
        <v>0</v>
      </c>
      <c r="G14" s="19">
        <f t="shared" si="5"/>
        <v>755939.4</v>
      </c>
      <c r="H14" s="20">
        <v>110469.9</v>
      </c>
      <c r="I14" s="20">
        <v>645469.5</v>
      </c>
      <c r="J14" s="20">
        <v>0</v>
      </c>
      <c r="K14" s="19">
        <f t="shared" si="6"/>
        <v>762053.7</v>
      </c>
      <c r="L14" s="20">
        <v>116584.2</v>
      </c>
      <c r="M14" s="20">
        <v>645469.5</v>
      </c>
      <c r="N14" s="20">
        <v>0</v>
      </c>
      <c r="O14" s="59"/>
    </row>
    <row r="15" spans="1:15" s="9" customFormat="1" ht="31.5">
      <c r="A15" s="27" t="s">
        <v>40</v>
      </c>
      <c r="B15" s="63" t="s">
        <v>12</v>
      </c>
      <c r="C15" s="19">
        <f t="shared" si="2"/>
        <v>1176469.3</v>
      </c>
      <c r="D15" s="20">
        <f>D16+D17</f>
        <v>211485.30000000002</v>
      </c>
      <c r="E15" s="20">
        <f>E16+E17</f>
        <v>964984</v>
      </c>
      <c r="F15" s="20">
        <f>F16+F17</f>
        <v>0</v>
      </c>
      <c r="G15" s="19">
        <f>H15+I15+J15</f>
        <v>1123567.3999999999</v>
      </c>
      <c r="H15" s="20">
        <f>H16+H17</f>
        <v>148213.1</v>
      </c>
      <c r="I15" s="20">
        <f>I16+I17</f>
        <v>975354.29999999993</v>
      </c>
      <c r="J15" s="20">
        <f>J16+J17</f>
        <v>0</v>
      </c>
      <c r="K15" s="19">
        <f>L15+M15+N15</f>
        <v>1125131.7</v>
      </c>
      <c r="L15" s="20">
        <f>L16+L17</f>
        <v>149777.4</v>
      </c>
      <c r="M15" s="20">
        <f>M16+M17</f>
        <v>975354.29999999993</v>
      </c>
      <c r="N15" s="20">
        <f>N16+N17</f>
        <v>0</v>
      </c>
      <c r="O15" s="59"/>
    </row>
    <row r="16" spans="1:15" s="9" customFormat="1" ht="31.5">
      <c r="A16" s="18" t="s">
        <v>41</v>
      </c>
      <c r="B16" s="63" t="s">
        <v>29</v>
      </c>
      <c r="C16" s="19">
        <f t="shared" si="2"/>
        <v>1121269.3</v>
      </c>
      <c r="D16" s="20">
        <f>153338.4+1038.6+45+838.2+425.1+600</f>
        <v>156285.30000000002</v>
      </c>
      <c r="E16" s="20">
        <f>962064+2920</f>
        <v>964984</v>
      </c>
      <c r="F16" s="20">
        <v>0</v>
      </c>
      <c r="G16" s="19">
        <f t="shared" si="5"/>
        <v>1123567.3999999999</v>
      </c>
      <c r="H16" s="20">
        <f>147158+1055.1</f>
        <v>148213.1</v>
      </c>
      <c r="I16" s="20">
        <f>971076+2970+45+838.2+425.1</f>
        <v>975354.29999999993</v>
      </c>
      <c r="J16" s="20">
        <v>0</v>
      </c>
      <c r="K16" s="19">
        <f t="shared" si="6"/>
        <v>1125131.7</v>
      </c>
      <c r="L16" s="20">
        <f>148722.3+1055.1</f>
        <v>149777.4</v>
      </c>
      <c r="M16" s="20">
        <f>971076+2970+45+838.2+425.1</f>
        <v>975354.29999999993</v>
      </c>
      <c r="N16" s="20">
        <v>0</v>
      </c>
      <c r="O16" s="59"/>
    </row>
    <row r="17" spans="1:14" s="9" customFormat="1" ht="15.75">
      <c r="A17" s="18" t="s">
        <v>42</v>
      </c>
      <c r="B17" s="63" t="s">
        <v>110</v>
      </c>
      <c r="C17" s="19">
        <f t="shared" si="2"/>
        <v>55200</v>
      </c>
      <c r="D17" s="20">
        <v>55200</v>
      </c>
      <c r="E17" s="20">
        <v>0</v>
      </c>
      <c r="F17" s="20">
        <v>0</v>
      </c>
      <c r="G17" s="19">
        <v>0</v>
      </c>
      <c r="H17" s="20">
        <v>0</v>
      </c>
      <c r="I17" s="20">
        <v>0</v>
      </c>
      <c r="J17" s="20">
        <v>0</v>
      </c>
      <c r="K17" s="19">
        <f t="shared" si="6"/>
        <v>0</v>
      </c>
      <c r="L17" s="20">
        <v>0</v>
      </c>
      <c r="M17" s="20">
        <v>0</v>
      </c>
      <c r="N17" s="20">
        <v>0</v>
      </c>
    </row>
    <row r="18" spans="1:14" s="9" customFormat="1" ht="31.5">
      <c r="A18" s="18" t="s">
        <v>43</v>
      </c>
      <c r="B18" s="63" t="s">
        <v>14</v>
      </c>
      <c r="C18" s="19">
        <f t="shared" si="2"/>
        <v>80569</v>
      </c>
      <c r="D18" s="20">
        <f>D19</f>
        <v>80239</v>
      </c>
      <c r="E18" s="20">
        <f t="shared" ref="E18:F18" si="7">E19</f>
        <v>330</v>
      </c>
      <c r="F18" s="20">
        <f t="shared" si="7"/>
        <v>0</v>
      </c>
      <c r="G18" s="19">
        <f t="shared" si="5"/>
        <v>49950.1</v>
      </c>
      <c r="H18" s="20">
        <f>H19</f>
        <v>49620.1</v>
      </c>
      <c r="I18" s="20">
        <f t="shared" ref="I18:J18" si="8">I19</f>
        <v>330</v>
      </c>
      <c r="J18" s="20">
        <f t="shared" si="8"/>
        <v>0</v>
      </c>
      <c r="K18" s="19">
        <f t="shared" si="6"/>
        <v>50408</v>
      </c>
      <c r="L18" s="20">
        <f>L19</f>
        <v>50078</v>
      </c>
      <c r="M18" s="20">
        <f t="shared" ref="M18:N18" si="9">M19</f>
        <v>330</v>
      </c>
      <c r="N18" s="20">
        <f t="shared" si="9"/>
        <v>0</v>
      </c>
    </row>
    <row r="19" spans="1:14" s="9" customFormat="1" ht="31.5">
      <c r="A19" s="27" t="s">
        <v>44</v>
      </c>
      <c r="B19" s="21" t="s">
        <v>50</v>
      </c>
      <c r="C19" s="19">
        <f t="shared" si="2"/>
        <v>80569</v>
      </c>
      <c r="D19" s="20">
        <f>80123.6+115.4</f>
        <v>80239</v>
      </c>
      <c r="E19" s="64">
        <v>330</v>
      </c>
      <c r="F19" s="64">
        <v>0</v>
      </c>
      <c r="G19" s="19">
        <f t="shared" si="5"/>
        <v>49950.1</v>
      </c>
      <c r="H19" s="20">
        <f>49502.9+117.2</f>
        <v>49620.1</v>
      </c>
      <c r="I19" s="64">
        <v>330</v>
      </c>
      <c r="J19" s="64">
        <v>0</v>
      </c>
      <c r="K19" s="19">
        <f t="shared" si="6"/>
        <v>50408</v>
      </c>
      <c r="L19" s="20">
        <f>49960.8+117.2</f>
        <v>50078</v>
      </c>
      <c r="M19" s="64">
        <v>330</v>
      </c>
      <c r="N19" s="20">
        <v>0</v>
      </c>
    </row>
    <row r="20" spans="1:14" s="9" customFormat="1" ht="15.75">
      <c r="A20" s="18" t="s">
        <v>45</v>
      </c>
      <c r="B20" s="21" t="s">
        <v>117</v>
      </c>
      <c r="C20" s="19">
        <f t="shared" si="2"/>
        <v>232887.7</v>
      </c>
      <c r="D20" s="20">
        <f>D21+D23</f>
        <v>37832.5</v>
      </c>
      <c r="E20" s="20">
        <f t="shared" ref="E20:F20" si="10">E21+E23</f>
        <v>180943.1</v>
      </c>
      <c r="F20" s="20">
        <f t="shared" si="10"/>
        <v>14112.1</v>
      </c>
      <c r="G20" s="19">
        <f t="shared" si="5"/>
        <v>224337.69999999998</v>
      </c>
      <c r="H20" s="20">
        <f>H21+H23</f>
        <v>37569.799999999996</v>
      </c>
      <c r="I20" s="20">
        <f t="shared" ref="I20:J20" si="11">I21+I23</f>
        <v>174365.5</v>
      </c>
      <c r="J20" s="20">
        <f t="shared" si="11"/>
        <v>12402.4</v>
      </c>
      <c r="K20" s="19">
        <f t="shared" si="6"/>
        <v>218746.6</v>
      </c>
      <c r="L20" s="20">
        <f>L21+L23</f>
        <v>37276.799999999996</v>
      </c>
      <c r="M20" s="20">
        <f t="shared" ref="M20:N20" si="12">M21+M23</f>
        <v>170857.90000000002</v>
      </c>
      <c r="N20" s="20">
        <f t="shared" si="12"/>
        <v>10611.9</v>
      </c>
    </row>
    <row r="21" spans="1:14" s="9" customFormat="1" ht="36.75" customHeight="1">
      <c r="A21" s="18" t="s">
        <v>46</v>
      </c>
      <c r="B21" s="21" t="s">
        <v>16</v>
      </c>
      <c r="C21" s="19">
        <f t="shared" si="2"/>
        <v>206420</v>
      </c>
      <c r="D21" s="20">
        <f>33434.7+4397.8</f>
        <v>37832.5</v>
      </c>
      <c r="E21" s="20">
        <f>E22+36462.1</f>
        <v>154475.4</v>
      </c>
      <c r="F21" s="20">
        <v>14112.1</v>
      </c>
      <c r="G21" s="19">
        <f t="shared" si="5"/>
        <v>197869.99999999997</v>
      </c>
      <c r="H21" s="20">
        <f>33434.7+4135.1</f>
        <v>37569.799999999996</v>
      </c>
      <c r="I21" s="20">
        <f>I22+35150.7</f>
        <v>147897.79999999999</v>
      </c>
      <c r="J21" s="20">
        <v>12402.4</v>
      </c>
      <c r="K21" s="19">
        <f t="shared" si="6"/>
        <v>192278.9</v>
      </c>
      <c r="L21" s="20">
        <f>33434.7+3842.1</f>
        <v>37276.799999999996</v>
      </c>
      <c r="M21" s="20">
        <f>M22+33572.7</f>
        <v>144390.20000000001</v>
      </c>
      <c r="N21" s="20">
        <v>10611.9</v>
      </c>
    </row>
    <row r="22" spans="1:14" s="9" customFormat="1" ht="15.75">
      <c r="A22" s="18" t="s">
        <v>51</v>
      </c>
      <c r="B22" s="21" t="s">
        <v>36</v>
      </c>
      <c r="C22" s="19">
        <f t="shared" si="2"/>
        <v>118013.3</v>
      </c>
      <c r="D22" s="20">
        <v>0</v>
      </c>
      <c r="E22" s="22">
        <v>118013.3</v>
      </c>
      <c r="F22" s="20">
        <v>0</v>
      </c>
      <c r="G22" s="19">
        <f t="shared" si="5"/>
        <v>112747.1</v>
      </c>
      <c r="H22" s="20">
        <v>0</v>
      </c>
      <c r="I22" s="22">
        <v>112747.1</v>
      </c>
      <c r="J22" s="20">
        <v>0</v>
      </c>
      <c r="K22" s="19">
        <f t="shared" si="6"/>
        <v>110817.5</v>
      </c>
      <c r="L22" s="20">
        <v>0</v>
      </c>
      <c r="M22" s="22">
        <v>110817.5</v>
      </c>
      <c r="N22" s="20">
        <v>0</v>
      </c>
    </row>
    <row r="23" spans="1:14" s="9" customFormat="1" ht="18" customHeight="1">
      <c r="A23" s="18" t="s">
        <v>47</v>
      </c>
      <c r="B23" s="21" t="s">
        <v>17</v>
      </c>
      <c r="C23" s="19">
        <f t="shared" si="2"/>
        <v>26467.7</v>
      </c>
      <c r="D23" s="20">
        <v>0</v>
      </c>
      <c r="E23" s="22">
        <v>26467.7</v>
      </c>
      <c r="F23" s="20">
        <v>0</v>
      </c>
      <c r="G23" s="19">
        <f t="shared" si="5"/>
        <v>26467.7</v>
      </c>
      <c r="H23" s="20">
        <v>0</v>
      </c>
      <c r="I23" s="22">
        <v>26467.7</v>
      </c>
      <c r="J23" s="20">
        <v>0</v>
      </c>
      <c r="K23" s="19">
        <f t="shared" si="6"/>
        <v>26467.7</v>
      </c>
      <c r="L23" s="20">
        <v>0</v>
      </c>
      <c r="M23" s="22">
        <v>26467.7</v>
      </c>
      <c r="N23" s="20">
        <v>0</v>
      </c>
    </row>
    <row r="24" spans="1:14" s="9" customFormat="1" ht="15.75">
      <c r="A24" s="23" t="s">
        <v>11</v>
      </c>
      <c r="B24" s="24" t="s">
        <v>21</v>
      </c>
      <c r="C24" s="19">
        <f t="shared" si="2"/>
        <v>34322</v>
      </c>
      <c r="D24" s="19">
        <f>D25</f>
        <v>7293.2</v>
      </c>
      <c r="E24" s="19">
        <f t="shared" ref="E24:F25" si="13">E25</f>
        <v>27028.799999999999</v>
      </c>
      <c r="F24" s="19">
        <f t="shared" si="13"/>
        <v>0</v>
      </c>
      <c r="G24" s="19">
        <f t="shared" si="5"/>
        <v>34322</v>
      </c>
      <c r="H24" s="19">
        <f>H25</f>
        <v>7293.2</v>
      </c>
      <c r="I24" s="19">
        <f t="shared" ref="I24:J25" si="14">I25</f>
        <v>27028.799999999999</v>
      </c>
      <c r="J24" s="19">
        <f t="shared" si="14"/>
        <v>0</v>
      </c>
      <c r="K24" s="19">
        <f t="shared" si="6"/>
        <v>34322</v>
      </c>
      <c r="L24" s="19">
        <f>L25</f>
        <v>7293.2</v>
      </c>
      <c r="M24" s="19">
        <f t="shared" ref="M24:N25" si="15">M25</f>
        <v>27028.799999999999</v>
      </c>
      <c r="N24" s="19">
        <f t="shared" si="15"/>
        <v>0</v>
      </c>
    </row>
    <row r="25" spans="1:14" s="9" customFormat="1" ht="15.75">
      <c r="A25" s="18" t="s">
        <v>13</v>
      </c>
      <c r="B25" s="21" t="s">
        <v>22</v>
      </c>
      <c r="C25" s="19">
        <f t="shared" si="2"/>
        <v>34322</v>
      </c>
      <c r="D25" s="20">
        <f>D26</f>
        <v>7293.2</v>
      </c>
      <c r="E25" s="20">
        <f t="shared" si="13"/>
        <v>27028.799999999999</v>
      </c>
      <c r="F25" s="20">
        <f t="shared" si="13"/>
        <v>0</v>
      </c>
      <c r="G25" s="19">
        <f t="shared" si="5"/>
        <v>34322</v>
      </c>
      <c r="H25" s="20">
        <f>H26</f>
        <v>7293.2</v>
      </c>
      <c r="I25" s="20">
        <f t="shared" si="14"/>
        <v>27028.799999999999</v>
      </c>
      <c r="J25" s="20">
        <f t="shared" si="14"/>
        <v>0</v>
      </c>
      <c r="K25" s="19">
        <f t="shared" si="6"/>
        <v>34322</v>
      </c>
      <c r="L25" s="20">
        <f>L26</f>
        <v>7293.2</v>
      </c>
      <c r="M25" s="20">
        <f t="shared" si="15"/>
        <v>27028.799999999999</v>
      </c>
      <c r="N25" s="20">
        <f t="shared" si="15"/>
        <v>0</v>
      </c>
    </row>
    <row r="26" spans="1:14" s="9" customFormat="1" ht="32.25" customHeight="1">
      <c r="A26" s="18" t="s">
        <v>32</v>
      </c>
      <c r="B26" s="21" t="s">
        <v>23</v>
      </c>
      <c r="C26" s="19">
        <f t="shared" si="2"/>
        <v>34322</v>
      </c>
      <c r="D26" s="20">
        <v>7293.2</v>
      </c>
      <c r="E26" s="20">
        <v>27028.799999999999</v>
      </c>
      <c r="F26" s="20">
        <v>0</v>
      </c>
      <c r="G26" s="19">
        <f t="shared" si="5"/>
        <v>34322</v>
      </c>
      <c r="H26" s="20">
        <v>7293.2</v>
      </c>
      <c r="I26" s="20">
        <v>27028.799999999999</v>
      </c>
      <c r="J26" s="20">
        <v>0</v>
      </c>
      <c r="K26" s="19">
        <f t="shared" si="6"/>
        <v>34322</v>
      </c>
      <c r="L26" s="20">
        <v>7293.2</v>
      </c>
      <c r="M26" s="20">
        <v>27028.799999999999</v>
      </c>
      <c r="N26" s="20">
        <v>0</v>
      </c>
    </row>
    <row r="27" spans="1:14" s="9" customFormat="1" ht="47.25">
      <c r="A27" s="23" t="s">
        <v>18</v>
      </c>
      <c r="B27" s="29" t="s">
        <v>95</v>
      </c>
      <c r="C27" s="19">
        <f t="shared" si="2"/>
        <v>298209.8</v>
      </c>
      <c r="D27" s="26">
        <f>D28</f>
        <v>280871.3</v>
      </c>
      <c r="E27" s="26">
        <f>E28</f>
        <v>17338.5</v>
      </c>
      <c r="F27" s="20">
        <v>0</v>
      </c>
      <c r="G27" s="19">
        <f t="shared" si="5"/>
        <v>293358.8</v>
      </c>
      <c r="H27" s="26">
        <f>H28</f>
        <v>276020.3</v>
      </c>
      <c r="I27" s="26">
        <f>I28</f>
        <v>17338.5</v>
      </c>
      <c r="J27" s="20">
        <v>0</v>
      </c>
      <c r="K27" s="19">
        <f t="shared" si="6"/>
        <v>324176.5</v>
      </c>
      <c r="L27" s="26">
        <f t="shared" ref="L27:M27" si="16">L28</f>
        <v>280838</v>
      </c>
      <c r="M27" s="26">
        <f t="shared" si="16"/>
        <v>43338.5</v>
      </c>
      <c r="N27" s="20">
        <v>0</v>
      </c>
    </row>
    <row r="28" spans="1:14" s="9" customFormat="1" ht="15.75">
      <c r="A28" s="23" t="s">
        <v>19</v>
      </c>
      <c r="B28" s="39" t="s">
        <v>24</v>
      </c>
      <c r="C28" s="19">
        <f t="shared" si="2"/>
        <v>298209.8</v>
      </c>
      <c r="D28" s="26">
        <f>D29+D32</f>
        <v>280871.3</v>
      </c>
      <c r="E28" s="26">
        <f>E29+E32</f>
        <v>17338.5</v>
      </c>
      <c r="F28" s="20">
        <v>0</v>
      </c>
      <c r="G28" s="19">
        <f t="shared" si="5"/>
        <v>293358.8</v>
      </c>
      <c r="H28" s="26">
        <f>H29+H32</f>
        <v>276020.3</v>
      </c>
      <c r="I28" s="26">
        <f>I29+I32</f>
        <v>17338.5</v>
      </c>
      <c r="J28" s="20">
        <v>0</v>
      </c>
      <c r="K28" s="19">
        <f t="shared" si="6"/>
        <v>324176.5</v>
      </c>
      <c r="L28" s="26">
        <f t="shared" ref="L28:M28" si="17">L29+L32</f>
        <v>280838</v>
      </c>
      <c r="M28" s="26">
        <f t="shared" si="17"/>
        <v>43338.5</v>
      </c>
      <c r="N28" s="20">
        <v>0</v>
      </c>
    </row>
    <row r="29" spans="1:14" s="9" customFormat="1" ht="31.5">
      <c r="A29" s="40" t="s">
        <v>55</v>
      </c>
      <c r="B29" s="41" t="s">
        <v>37</v>
      </c>
      <c r="C29" s="19">
        <f t="shared" si="2"/>
        <v>278675.5</v>
      </c>
      <c r="D29" s="28">
        <f>D30</f>
        <v>278675.5</v>
      </c>
      <c r="E29" s="28">
        <v>0</v>
      </c>
      <c r="F29" s="20">
        <v>0</v>
      </c>
      <c r="G29" s="19">
        <f t="shared" si="5"/>
        <v>273924.5</v>
      </c>
      <c r="H29" s="28">
        <f>H30</f>
        <v>273924.5</v>
      </c>
      <c r="I29" s="28">
        <v>0</v>
      </c>
      <c r="J29" s="28">
        <v>0</v>
      </c>
      <c r="K29" s="19">
        <f t="shared" si="6"/>
        <v>277373.7</v>
      </c>
      <c r="L29" s="28">
        <f>L30</f>
        <v>277373.7</v>
      </c>
      <c r="M29" s="28">
        <v>0</v>
      </c>
      <c r="N29" s="20">
        <v>0</v>
      </c>
    </row>
    <row r="30" spans="1:14" s="9" customFormat="1" ht="31.5">
      <c r="A30" s="40" t="s">
        <v>56</v>
      </c>
      <c r="B30" s="21" t="s">
        <v>49</v>
      </c>
      <c r="C30" s="19">
        <f t="shared" si="2"/>
        <v>278675.5</v>
      </c>
      <c r="D30" s="28">
        <v>278675.5</v>
      </c>
      <c r="E30" s="28">
        <v>0</v>
      </c>
      <c r="F30" s="20">
        <v>0</v>
      </c>
      <c r="G30" s="19">
        <f t="shared" si="5"/>
        <v>273924.5</v>
      </c>
      <c r="H30" s="28">
        <v>273924.5</v>
      </c>
      <c r="I30" s="28">
        <v>0</v>
      </c>
      <c r="J30" s="28">
        <v>0</v>
      </c>
      <c r="K30" s="19">
        <f t="shared" si="6"/>
        <v>277373.7</v>
      </c>
      <c r="L30" s="28">
        <v>277373.7</v>
      </c>
      <c r="M30" s="28">
        <v>0</v>
      </c>
      <c r="N30" s="20">
        <v>0</v>
      </c>
    </row>
    <row r="31" spans="1:14" s="9" customFormat="1" ht="15.75">
      <c r="A31" s="65" t="s">
        <v>118</v>
      </c>
      <c r="B31" s="21" t="s">
        <v>119</v>
      </c>
      <c r="C31" s="19">
        <f t="shared" si="2"/>
        <v>0</v>
      </c>
      <c r="D31" s="28">
        <v>0</v>
      </c>
      <c r="E31" s="28">
        <v>0</v>
      </c>
      <c r="F31" s="20">
        <v>0</v>
      </c>
      <c r="G31" s="19">
        <f t="shared" si="5"/>
        <v>0</v>
      </c>
      <c r="H31" s="28">
        <v>0</v>
      </c>
      <c r="I31" s="28">
        <v>0</v>
      </c>
      <c r="J31" s="28">
        <v>0</v>
      </c>
      <c r="K31" s="19">
        <f t="shared" si="6"/>
        <v>27368.5</v>
      </c>
      <c r="L31" s="28">
        <v>1368.5</v>
      </c>
      <c r="M31" s="28">
        <v>26000</v>
      </c>
      <c r="N31" s="20">
        <v>0</v>
      </c>
    </row>
    <row r="32" spans="1:14" s="9" customFormat="1" ht="63">
      <c r="A32" s="27" t="s">
        <v>57</v>
      </c>
      <c r="B32" s="42" t="s">
        <v>38</v>
      </c>
      <c r="C32" s="19">
        <f t="shared" si="2"/>
        <v>19534.3</v>
      </c>
      <c r="D32" s="28">
        <f>D33</f>
        <v>2195.8000000000002</v>
      </c>
      <c r="E32" s="28">
        <f>E33</f>
        <v>17338.5</v>
      </c>
      <c r="F32" s="20">
        <v>0</v>
      </c>
      <c r="G32" s="19">
        <f t="shared" si="5"/>
        <v>19434.3</v>
      </c>
      <c r="H32" s="28">
        <f>H33</f>
        <v>2095.8000000000002</v>
      </c>
      <c r="I32" s="28">
        <f>I33</f>
        <v>17338.5</v>
      </c>
      <c r="J32" s="28">
        <v>0</v>
      </c>
      <c r="K32" s="19">
        <f t="shared" si="6"/>
        <v>46802.8</v>
      </c>
      <c r="L32" s="28">
        <f>L33</f>
        <v>3464.3</v>
      </c>
      <c r="M32" s="28">
        <f>M33</f>
        <v>43338.5</v>
      </c>
      <c r="N32" s="20">
        <v>0</v>
      </c>
    </row>
    <row r="33" spans="1:14" s="9" customFormat="1" ht="63">
      <c r="A33" s="27" t="s">
        <v>58</v>
      </c>
      <c r="B33" s="43" t="s">
        <v>39</v>
      </c>
      <c r="C33" s="19">
        <f t="shared" si="2"/>
        <v>19534.3</v>
      </c>
      <c r="D33" s="28">
        <f>670.5+242+1183.3+100</f>
        <v>2195.8000000000002</v>
      </c>
      <c r="E33" s="28">
        <f>12740.4+4598.1</f>
        <v>17338.5</v>
      </c>
      <c r="F33" s="28">
        <v>0</v>
      </c>
      <c r="G33" s="19">
        <f t="shared" si="5"/>
        <v>19434.3</v>
      </c>
      <c r="H33" s="28">
        <f>670.5+242+1183.3</f>
        <v>2095.8000000000002</v>
      </c>
      <c r="I33" s="28">
        <f>12740.4+4598.1</f>
        <v>17338.5</v>
      </c>
      <c r="J33" s="28">
        <v>0</v>
      </c>
      <c r="K33" s="19">
        <f t="shared" si="6"/>
        <v>46802.8</v>
      </c>
      <c r="L33" s="28">
        <f>670.5+242+1368.5+1183.3</f>
        <v>3464.3</v>
      </c>
      <c r="M33" s="28">
        <f>12740.4+4598.1+26000</f>
        <v>43338.5</v>
      </c>
      <c r="N33" s="28">
        <v>0</v>
      </c>
    </row>
    <row r="34" spans="1:14" s="9" customFormat="1" ht="34.5" customHeight="1">
      <c r="A34" s="23" t="s">
        <v>20</v>
      </c>
      <c r="B34" s="29" t="s">
        <v>60</v>
      </c>
      <c r="C34" s="19">
        <f>D34+E34+F34</f>
        <v>386192.69999999995</v>
      </c>
      <c r="D34" s="19">
        <f>D35+D38</f>
        <v>385166.19999999995</v>
      </c>
      <c r="E34" s="19">
        <f t="shared" ref="E34:N34" si="18">E35+E38</f>
        <v>971.7</v>
      </c>
      <c r="F34" s="19">
        <f t="shared" si="18"/>
        <v>54.8</v>
      </c>
      <c r="G34" s="19">
        <f>H34+I34+J34</f>
        <v>362145.5</v>
      </c>
      <c r="H34" s="19">
        <f t="shared" si="18"/>
        <v>361634</v>
      </c>
      <c r="I34" s="19">
        <f t="shared" si="18"/>
        <v>461.3</v>
      </c>
      <c r="J34" s="19">
        <f t="shared" si="18"/>
        <v>50.2</v>
      </c>
      <c r="K34" s="19">
        <f>L34+M34+N34</f>
        <v>374589.30000000005</v>
      </c>
      <c r="L34" s="19">
        <f t="shared" si="18"/>
        <v>374075.4</v>
      </c>
      <c r="M34" s="19">
        <f t="shared" si="18"/>
        <v>468.70000000000005</v>
      </c>
      <c r="N34" s="19">
        <f t="shared" si="18"/>
        <v>45.2</v>
      </c>
    </row>
    <row r="35" spans="1:14" s="9" customFormat="1" ht="47.25">
      <c r="A35" s="18" t="s">
        <v>63</v>
      </c>
      <c r="B35" s="44" t="s">
        <v>61</v>
      </c>
      <c r="C35" s="19">
        <f t="shared" ref="C35:C38" si="19">D35+E35+F35</f>
        <v>383595.19999999995</v>
      </c>
      <c r="D35" s="28">
        <f>D36+D37</f>
        <v>382568.69999999995</v>
      </c>
      <c r="E35" s="28">
        <f t="shared" ref="E35:N35" si="20">E36+E37</f>
        <v>971.7</v>
      </c>
      <c r="F35" s="28">
        <f t="shared" si="20"/>
        <v>54.8</v>
      </c>
      <c r="G35" s="26">
        <f t="shared" si="20"/>
        <v>359648</v>
      </c>
      <c r="H35" s="28">
        <f t="shared" si="20"/>
        <v>359136.5</v>
      </c>
      <c r="I35" s="28">
        <f t="shared" si="20"/>
        <v>461.3</v>
      </c>
      <c r="J35" s="28">
        <f t="shared" si="20"/>
        <v>50.2</v>
      </c>
      <c r="K35" s="26">
        <f t="shared" si="20"/>
        <v>372091.80000000005</v>
      </c>
      <c r="L35" s="28">
        <f t="shared" si="20"/>
        <v>371577.9</v>
      </c>
      <c r="M35" s="28">
        <f t="shared" si="20"/>
        <v>468.70000000000005</v>
      </c>
      <c r="N35" s="28">
        <f t="shared" si="20"/>
        <v>45.2</v>
      </c>
    </row>
    <row r="36" spans="1:14" s="9" customFormat="1" ht="31.5">
      <c r="A36" s="18" t="s">
        <v>66</v>
      </c>
      <c r="B36" s="44" t="s">
        <v>116</v>
      </c>
      <c r="C36" s="19">
        <f t="shared" si="19"/>
        <v>261686.09999999998</v>
      </c>
      <c r="D36" s="28">
        <f>260478.4+156.4+24.8</f>
        <v>260659.59999999998</v>
      </c>
      <c r="E36" s="28">
        <f>85.7+886</f>
        <v>971.7</v>
      </c>
      <c r="F36" s="28">
        <v>54.8</v>
      </c>
      <c r="G36" s="19">
        <f>SUM(H36:J36)</f>
        <v>243337.4</v>
      </c>
      <c r="H36" s="28">
        <f>242735.6+65+25.3</f>
        <v>242825.9</v>
      </c>
      <c r="I36" s="28">
        <f>93.2+368.1</f>
        <v>461.3</v>
      </c>
      <c r="J36" s="28">
        <v>50.2</v>
      </c>
      <c r="K36" s="19">
        <f>SUM(L36:N36)</f>
        <v>248034.20000000004</v>
      </c>
      <c r="L36" s="28">
        <f>247429.6+65+25.7</f>
        <v>247520.30000000002</v>
      </c>
      <c r="M36" s="28">
        <f>100.6+368.1</f>
        <v>468.70000000000005</v>
      </c>
      <c r="N36" s="28">
        <v>45.2</v>
      </c>
    </row>
    <row r="37" spans="1:14" s="9" customFormat="1" ht="31.5">
      <c r="A37" s="18" t="s">
        <v>115</v>
      </c>
      <c r="B37" s="44" t="s">
        <v>65</v>
      </c>
      <c r="C37" s="19">
        <f>SUM(D37:F37)</f>
        <v>121909.1</v>
      </c>
      <c r="D37" s="28">
        <v>121909.1</v>
      </c>
      <c r="E37" s="28">
        <v>0</v>
      </c>
      <c r="F37" s="28">
        <v>0</v>
      </c>
      <c r="G37" s="19">
        <f>SUM(H37:J37)</f>
        <v>116310.6</v>
      </c>
      <c r="H37" s="28">
        <v>116310.6</v>
      </c>
      <c r="I37" s="28">
        <v>0</v>
      </c>
      <c r="J37" s="28">
        <v>0</v>
      </c>
      <c r="K37" s="19">
        <f>SUM(L37:N37)</f>
        <v>124057.60000000001</v>
      </c>
      <c r="L37" s="28">
        <v>124057.60000000001</v>
      </c>
      <c r="M37" s="28">
        <v>0</v>
      </c>
      <c r="N37" s="28">
        <v>0</v>
      </c>
    </row>
    <row r="38" spans="1:14" s="9" customFormat="1" ht="47.25">
      <c r="A38" s="18" t="s">
        <v>64</v>
      </c>
      <c r="B38" s="45" t="s">
        <v>62</v>
      </c>
      <c r="C38" s="19">
        <f t="shared" si="19"/>
        <v>2597.5</v>
      </c>
      <c r="D38" s="28">
        <f>D39</f>
        <v>2597.5</v>
      </c>
      <c r="E38" s="28">
        <f t="shared" ref="E38:F38" si="21">E39</f>
        <v>0</v>
      </c>
      <c r="F38" s="28">
        <f t="shared" si="21"/>
        <v>0</v>
      </c>
      <c r="G38" s="19">
        <f t="shared" ref="G38:G39" si="22">H38+I38+J38</f>
        <v>2497.5</v>
      </c>
      <c r="H38" s="28">
        <f>H39</f>
        <v>2497.5</v>
      </c>
      <c r="I38" s="28">
        <v>0</v>
      </c>
      <c r="J38" s="28">
        <v>0</v>
      </c>
      <c r="K38" s="19">
        <f t="shared" ref="K38:K39" si="23">L38+M38+N38</f>
        <v>2497.5</v>
      </c>
      <c r="L38" s="28">
        <f>L39</f>
        <v>2497.5</v>
      </c>
      <c r="M38" s="28">
        <v>0</v>
      </c>
      <c r="N38" s="28">
        <v>0</v>
      </c>
    </row>
    <row r="39" spans="1:14" s="9" customFormat="1" ht="31.5">
      <c r="A39" s="18" t="s">
        <v>68</v>
      </c>
      <c r="B39" s="43" t="s">
        <v>67</v>
      </c>
      <c r="C39" s="19">
        <f t="shared" ref="C39:C45" si="24">SUM(D39:F39)</f>
        <v>2597.5</v>
      </c>
      <c r="D39" s="28">
        <f>2497.5+100</f>
        <v>2597.5</v>
      </c>
      <c r="E39" s="28">
        <v>0</v>
      </c>
      <c r="F39" s="28">
        <v>0</v>
      </c>
      <c r="G39" s="19">
        <f t="shared" si="22"/>
        <v>2497.5</v>
      </c>
      <c r="H39" s="28">
        <v>2497.5</v>
      </c>
      <c r="I39" s="28">
        <v>0</v>
      </c>
      <c r="J39" s="28">
        <v>0</v>
      </c>
      <c r="K39" s="19">
        <f t="shared" si="23"/>
        <v>2497.5</v>
      </c>
      <c r="L39" s="28">
        <v>2497.5</v>
      </c>
      <c r="M39" s="28">
        <v>0</v>
      </c>
      <c r="N39" s="28">
        <v>0</v>
      </c>
    </row>
    <row r="40" spans="1:14" s="15" customFormat="1" ht="47.25">
      <c r="A40" s="46" t="s">
        <v>59</v>
      </c>
      <c r="B40" s="47" t="s">
        <v>102</v>
      </c>
      <c r="C40" s="33">
        <f>SUM(D40:F40)</f>
        <v>84404.099999999991</v>
      </c>
      <c r="D40" s="48">
        <f>D41+D42+D43</f>
        <v>4108.7</v>
      </c>
      <c r="E40" s="48">
        <f t="shared" ref="E40:F40" si="25">E41+E42+E43</f>
        <v>78065</v>
      </c>
      <c r="F40" s="48">
        <f t="shared" si="25"/>
        <v>2230.4</v>
      </c>
      <c r="G40" s="48">
        <f>SUM(H40:J40)</f>
        <v>85034.5</v>
      </c>
      <c r="H40" s="48">
        <f>H41+H42+H43</f>
        <v>4251.7</v>
      </c>
      <c r="I40" s="48">
        <f t="shared" ref="I40:J40" si="26">I41+I42+I43</f>
        <v>80782.8</v>
      </c>
      <c r="J40" s="48">
        <f t="shared" si="26"/>
        <v>0</v>
      </c>
      <c r="K40" s="48">
        <f>SUM(L40:N40)</f>
        <v>84872.400000000009</v>
      </c>
      <c r="L40" s="48">
        <f>L41+L42+L43</f>
        <v>4243.6000000000004</v>
      </c>
      <c r="M40" s="48">
        <f t="shared" ref="M40:N40" si="27">M41+M42+M43</f>
        <v>80628.800000000003</v>
      </c>
      <c r="N40" s="48">
        <f t="shared" si="27"/>
        <v>0</v>
      </c>
    </row>
    <row r="41" spans="1:14" s="15" customFormat="1" ht="31.5">
      <c r="A41" s="31" t="s">
        <v>72</v>
      </c>
      <c r="B41" s="49" t="s">
        <v>53</v>
      </c>
      <c r="C41" s="33">
        <f t="shared" ref="C41" si="28">D41+E41+F41</f>
        <v>32574.5</v>
      </c>
      <c r="D41" s="50">
        <v>1628.7</v>
      </c>
      <c r="E41" s="50">
        <v>30945.8</v>
      </c>
      <c r="F41" s="50">
        <v>0</v>
      </c>
      <c r="G41" s="33">
        <f t="shared" ref="G41" si="29">H41+I41+J41</f>
        <v>32554.5</v>
      </c>
      <c r="H41" s="50">
        <v>1627.7</v>
      </c>
      <c r="I41" s="50">
        <v>30926.799999999999</v>
      </c>
      <c r="J41" s="50">
        <v>0</v>
      </c>
      <c r="K41" s="33">
        <f t="shared" ref="K41" si="30">L41+M41+N41</f>
        <v>32392.399999999998</v>
      </c>
      <c r="L41" s="50">
        <v>1619.6</v>
      </c>
      <c r="M41" s="50">
        <v>30772.799999999999</v>
      </c>
      <c r="N41" s="50">
        <v>0</v>
      </c>
    </row>
    <row r="42" spans="1:14" s="15" customFormat="1" ht="63">
      <c r="A42" s="31" t="s">
        <v>84</v>
      </c>
      <c r="B42" s="49" t="s">
        <v>79</v>
      </c>
      <c r="C42" s="33">
        <f>SUM(D42:F42)</f>
        <v>2230.4</v>
      </c>
      <c r="D42" s="50">
        <v>0</v>
      </c>
      <c r="E42" s="50">
        <v>0</v>
      </c>
      <c r="F42" s="50">
        <v>2230.4</v>
      </c>
      <c r="G42" s="33">
        <f>SUM(H42:J42)</f>
        <v>0</v>
      </c>
      <c r="H42" s="50">
        <v>0</v>
      </c>
      <c r="I42" s="50">
        <v>0</v>
      </c>
      <c r="J42" s="50">
        <v>0</v>
      </c>
      <c r="K42" s="33">
        <f>SUM(L42:N42)</f>
        <v>0</v>
      </c>
      <c r="L42" s="50">
        <v>0</v>
      </c>
      <c r="M42" s="50">
        <v>0</v>
      </c>
      <c r="N42" s="50">
        <v>0</v>
      </c>
    </row>
    <row r="43" spans="1:14" s="15" customFormat="1" ht="31.5">
      <c r="A43" s="31" t="s">
        <v>98</v>
      </c>
      <c r="B43" s="49" t="s">
        <v>99</v>
      </c>
      <c r="C43" s="33">
        <f>SUM(D43:F43)</f>
        <v>49599.199999999997</v>
      </c>
      <c r="D43" s="50">
        <v>2480</v>
      </c>
      <c r="E43" s="50">
        <v>47119.199999999997</v>
      </c>
      <c r="F43" s="50">
        <v>0</v>
      </c>
      <c r="G43" s="33">
        <f>SUM(H43:J43)</f>
        <v>52480</v>
      </c>
      <c r="H43" s="50">
        <v>2624</v>
      </c>
      <c r="I43" s="50">
        <v>49856</v>
      </c>
      <c r="J43" s="50">
        <v>0</v>
      </c>
      <c r="K43" s="33">
        <f>SUM(L43:N43)</f>
        <v>52480</v>
      </c>
      <c r="L43" s="50">
        <v>2624</v>
      </c>
      <c r="M43" s="50">
        <v>49856</v>
      </c>
      <c r="N43" s="50">
        <v>0</v>
      </c>
    </row>
    <row r="44" spans="1:14" ht="63">
      <c r="A44" s="23" t="s">
        <v>69</v>
      </c>
      <c r="B44" s="29" t="s">
        <v>120</v>
      </c>
      <c r="C44" s="19">
        <f t="shared" si="24"/>
        <v>245</v>
      </c>
      <c r="D44" s="26">
        <f>D45</f>
        <v>245</v>
      </c>
      <c r="E44" s="28">
        <v>0</v>
      </c>
      <c r="F44" s="28">
        <v>0</v>
      </c>
      <c r="G44" s="19">
        <f t="shared" ref="G44:G45" si="31">SUM(H44:J44)</f>
        <v>245</v>
      </c>
      <c r="H44" s="26">
        <f>H45</f>
        <v>245</v>
      </c>
      <c r="I44" s="28">
        <v>0</v>
      </c>
      <c r="J44" s="28">
        <v>0</v>
      </c>
      <c r="K44" s="19">
        <f t="shared" ref="K44:K45" si="32">SUM(L44:N44)</f>
        <v>245</v>
      </c>
      <c r="L44" s="26">
        <f>L45</f>
        <v>245</v>
      </c>
      <c r="M44" s="28">
        <v>0</v>
      </c>
      <c r="N44" s="28">
        <v>0</v>
      </c>
    </row>
    <row r="45" spans="1:14" ht="31.5">
      <c r="A45" s="18" t="s">
        <v>70</v>
      </c>
      <c r="B45" s="43" t="s">
        <v>121</v>
      </c>
      <c r="C45" s="19">
        <f t="shared" si="24"/>
        <v>245</v>
      </c>
      <c r="D45" s="28">
        <v>245</v>
      </c>
      <c r="E45" s="28">
        <v>0</v>
      </c>
      <c r="F45" s="28">
        <v>0</v>
      </c>
      <c r="G45" s="19">
        <f t="shared" si="31"/>
        <v>245</v>
      </c>
      <c r="H45" s="28">
        <v>245</v>
      </c>
      <c r="I45" s="28">
        <v>0</v>
      </c>
      <c r="J45" s="28">
        <v>0</v>
      </c>
      <c r="K45" s="19">
        <f t="shared" si="32"/>
        <v>245</v>
      </c>
      <c r="L45" s="28">
        <v>245</v>
      </c>
      <c r="M45" s="28">
        <v>0</v>
      </c>
      <c r="N45" s="28">
        <v>0</v>
      </c>
    </row>
    <row r="46" spans="1:14" s="9" customFormat="1" ht="28.5">
      <c r="A46" s="18" t="s">
        <v>73</v>
      </c>
      <c r="B46" s="66" t="s">
        <v>109</v>
      </c>
      <c r="C46" s="67">
        <f>C47</f>
        <v>32944.6</v>
      </c>
      <c r="D46" s="67">
        <f t="shared" ref="D46:N46" si="33">D47</f>
        <v>30944.6</v>
      </c>
      <c r="E46" s="67">
        <f t="shared" si="33"/>
        <v>2000</v>
      </c>
      <c r="F46" s="67">
        <f t="shared" si="33"/>
        <v>0</v>
      </c>
      <c r="G46" s="67">
        <f t="shared" si="33"/>
        <v>33323.599999999999</v>
      </c>
      <c r="H46" s="67">
        <f t="shared" si="33"/>
        <v>31323.599999999999</v>
      </c>
      <c r="I46" s="67">
        <f t="shared" si="33"/>
        <v>2000</v>
      </c>
      <c r="J46" s="67">
        <f t="shared" si="33"/>
        <v>0</v>
      </c>
      <c r="K46" s="67">
        <f t="shared" si="33"/>
        <v>33344</v>
      </c>
      <c r="L46" s="67">
        <f t="shared" si="33"/>
        <v>31344</v>
      </c>
      <c r="M46" s="67">
        <f t="shared" si="33"/>
        <v>2000</v>
      </c>
      <c r="N46" s="67">
        <f t="shared" si="33"/>
        <v>0</v>
      </c>
    </row>
    <row r="47" spans="1:14" s="9" customFormat="1" ht="15.75">
      <c r="A47" s="65" t="s">
        <v>74</v>
      </c>
      <c r="B47" s="21" t="s">
        <v>25</v>
      </c>
      <c r="C47" s="19">
        <f>D47+E47+F47</f>
        <v>32944.6</v>
      </c>
      <c r="D47" s="28">
        <f>D48+D49+D50</f>
        <v>30944.6</v>
      </c>
      <c r="E47" s="28">
        <f t="shared" ref="E47:N47" si="34">E48+E49+E50</f>
        <v>2000</v>
      </c>
      <c r="F47" s="28">
        <f t="shared" si="34"/>
        <v>0</v>
      </c>
      <c r="G47" s="26">
        <f>SUM(H47:J47)</f>
        <v>33323.599999999999</v>
      </c>
      <c r="H47" s="28">
        <f t="shared" si="34"/>
        <v>31323.599999999999</v>
      </c>
      <c r="I47" s="28">
        <f t="shared" si="34"/>
        <v>2000</v>
      </c>
      <c r="J47" s="28">
        <f t="shared" si="34"/>
        <v>0</v>
      </c>
      <c r="K47" s="26">
        <f>SUM(L47:N47)</f>
        <v>33344</v>
      </c>
      <c r="L47" s="28">
        <f t="shared" si="34"/>
        <v>31344</v>
      </c>
      <c r="M47" s="28">
        <f t="shared" si="34"/>
        <v>2000</v>
      </c>
      <c r="N47" s="28">
        <f t="shared" si="34"/>
        <v>0</v>
      </c>
    </row>
    <row r="48" spans="1:14" s="9" customFormat="1" ht="15.75">
      <c r="A48" s="18" t="s">
        <v>85</v>
      </c>
      <c r="B48" s="21" t="s">
        <v>30</v>
      </c>
      <c r="C48" s="19">
        <f>D48+E48+F48</f>
        <v>955.6</v>
      </c>
      <c r="D48" s="20">
        <f>805.6+150</f>
        <v>955.6</v>
      </c>
      <c r="E48" s="20">
        <v>0</v>
      </c>
      <c r="F48" s="20">
        <v>0</v>
      </c>
      <c r="G48" s="19">
        <f>H48+I48+J48</f>
        <v>955.6</v>
      </c>
      <c r="H48" s="20">
        <f>805.6+150</f>
        <v>955.6</v>
      </c>
      <c r="I48" s="20">
        <v>0</v>
      </c>
      <c r="J48" s="20">
        <v>0</v>
      </c>
      <c r="K48" s="19">
        <f>L48+M48+N48</f>
        <v>955.6</v>
      </c>
      <c r="L48" s="20">
        <f>805.6+150</f>
        <v>955.6</v>
      </c>
      <c r="M48" s="20">
        <v>0</v>
      </c>
      <c r="N48" s="20">
        <v>0</v>
      </c>
    </row>
    <row r="49" spans="1:14" s="9" customFormat="1" ht="39.75" customHeight="1">
      <c r="A49" s="18" t="s">
        <v>122</v>
      </c>
      <c r="B49" s="21" t="s">
        <v>52</v>
      </c>
      <c r="C49" s="19">
        <f>D49+E49+F49</f>
        <v>24599.7</v>
      </c>
      <c r="D49" s="28">
        <v>24599.7</v>
      </c>
      <c r="E49" s="28">
        <v>0</v>
      </c>
      <c r="F49" s="20">
        <v>0</v>
      </c>
      <c r="G49" s="19">
        <f>H49+I49+J49</f>
        <v>25449.599999999999</v>
      </c>
      <c r="H49" s="28">
        <v>25449.599999999999</v>
      </c>
      <c r="I49" s="28">
        <v>0</v>
      </c>
      <c r="J49" s="20">
        <v>0</v>
      </c>
      <c r="K49" s="19">
        <f>L49+M49+N49</f>
        <v>25470</v>
      </c>
      <c r="L49" s="28">
        <v>25470</v>
      </c>
      <c r="M49" s="28">
        <v>0</v>
      </c>
      <c r="N49" s="20">
        <v>0</v>
      </c>
    </row>
    <row r="50" spans="1:14" s="9" customFormat="1" ht="28.5" customHeight="1">
      <c r="A50" s="18" t="s">
        <v>123</v>
      </c>
      <c r="B50" s="21" t="s">
        <v>112</v>
      </c>
      <c r="C50" s="19">
        <f>D50+E50+F50</f>
        <v>7389.3</v>
      </c>
      <c r="D50" s="28">
        <v>5389.3</v>
      </c>
      <c r="E50" s="28">
        <v>2000</v>
      </c>
      <c r="F50" s="20">
        <v>0</v>
      </c>
      <c r="G50" s="19">
        <f>H50+I50+J50</f>
        <v>6918.4</v>
      </c>
      <c r="H50" s="28">
        <v>4918.3999999999996</v>
      </c>
      <c r="I50" s="28">
        <v>2000</v>
      </c>
      <c r="J50" s="20">
        <v>0</v>
      </c>
      <c r="K50" s="19">
        <f>L50+M50+N50</f>
        <v>6918.4</v>
      </c>
      <c r="L50" s="28">
        <v>4918.3999999999996</v>
      </c>
      <c r="M50" s="28">
        <v>2000</v>
      </c>
      <c r="N50" s="20">
        <v>0</v>
      </c>
    </row>
  </sheetData>
  <mergeCells count="15">
    <mergeCell ref="A9:B9"/>
    <mergeCell ref="L1:N1"/>
    <mergeCell ref="L2:N2"/>
    <mergeCell ref="A3:N3"/>
    <mergeCell ref="A5:A7"/>
    <mergeCell ref="B5:B7"/>
    <mergeCell ref="C5:F5"/>
    <mergeCell ref="G5:J5"/>
    <mergeCell ref="K5:N5"/>
    <mergeCell ref="C6:C7"/>
    <mergeCell ref="D6:F6"/>
    <mergeCell ref="G6:G7"/>
    <mergeCell ref="H6:J6"/>
    <mergeCell ref="K6:K7"/>
    <mergeCell ref="L6:N6"/>
  </mergeCells>
  <pageMargins left="0.39370078740157483" right="0.39370078740157483" top="0.39370078740157483" bottom="0.78740157480314965" header="0.31496062992125984" footer="0.31496062992125984"/>
  <pageSetup paperSize="9" scale="55" firstPageNumber="289" fitToHeight="2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приложение 2 </vt:lpstr>
      <vt:lpstr>приложение 2  (2026-2028)</vt:lpstr>
      <vt:lpstr>'приложение 2 '!Заголовки_для_печати</vt:lpstr>
      <vt:lpstr>'приложение 2  (2026-2028)'!Заголовки_для_печати</vt:lpstr>
      <vt:lpstr>'приложение 2 '!Область_печати</vt:lpstr>
      <vt:lpstr>'приложение 2  (2026-2028)'!Область_печати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Черкасова Наталья Викторовна</dc:creator>
  <cp:lastModifiedBy>ZorinaLV</cp:lastModifiedBy>
  <cp:lastPrinted>2025-11-01T05:05:21Z</cp:lastPrinted>
  <dcterms:created xsi:type="dcterms:W3CDTF">2022-10-21T04:23:57Z</dcterms:created>
  <dcterms:modified xsi:type="dcterms:W3CDTF">2025-11-01T05:06:00Z</dcterms:modified>
</cp:coreProperties>
</file>