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5" windowWidth="19320" windowHeight="11025"/>
  </bookViews>
  <sheets>
    <sheet name="п.2.10." sheetId="24" r:id="rId1"/>
    <sheet name="Свод 6 мес 2021" sheetId="14" state="hidden" r:id="rId2"/>
    <sheet name="Свод 9 мес 2021 " sheetId="15" state="hidden" r:id="rId3"/>
    <sheet name="Свод за 2021 год" sheetId="16" state="hidden" r:id="rId4"/>
    <sheet name="Ларисе 2020 год" sheetId="18" state="hidden" r:id="rId5"/>
    <sheet name="Ларисе 2021 год" sheetId="17" state="hidden" r:id="rId6"/>
    <sheet name="Ларисе 2021 год (в работу)" sheetId="19" state="hidden" r:id="rId7"/>
    <sheet name="Ларисе 2021 год " sheetId="20" state="hidden" r:id="rId8"/>
    <sheet name="Ларисе 2022 год " sheetId="21" state="hidden" r:id="rId9"/>
    <sheet name="Ларисе 2022 год (в работу)" sheetId="22" state="hidden" r:id="rId10"/>
  </sheets>
  <externalReferences>
    <externalReference r:id="rId11"/>
  </externalReferences>
  <definedNames>
    <definedName name="_xlnm.Print_Titles" localSheetId="0">п.2.10.!$4:$6</definedName>
    <definedName name="_xlnm.Print_Area" localSheetId="0">п.2.10.!$A$1:$K$130</definedName>
    <definedName name="_xlnm.Print_Area" localSheetId="1">'Свод 6 мес 2021'!$A$1:$H$295</definedName>
    <definedName name="_xlnm.Print_Area" localSheetId="2">'Свод 9 мес 2021 '!$A$1:$H$303</definedName>
    <definedName name="_xlnm.Print_Area" localSheetId="3">'Свод за 2021 год'!$A$1:$H$324</definedName>
  </definedNames>
  <calcPr calcId="125725" iterate="1"/>
</workbook>
</file>

<file path=xl/calcChain.xml><?xml version="1.0" encoding="utf-8"?>
<calcChain xmlns="http://schemas.openxmlformats.org/spreadsheetml/2006/main">
  <c r="H129" i="24"/>
  <c r="L106"/>
  <c r="I129" l="1"/>
  <c r="J107"/>
  <c r="J111"/>
  <c r="I111"/>
  <c r="I107"/>
  <c r="J116"/>
  <c r="I116"/>
  <c r="M115"/>
  <c r="L115"/>
  <c r="N115"/>
  <c r="N106"/>
  <c r="M106"/>
  <c r="L73"/>
  <c r="M73"/>
  <c r="N73"/>
  <c r="I29" l="1"/>
  <c r="I51"/>
  <c r="K71"/>
  <c r="G71"/>
  <c r="K70"/>
  <c r="G70"/>
  <c r="K69"/>
  <c r="G69"/>
  <c r="K68"/>
  <c r="G68"/>
  <c r="K67"/>
  <c r="G67"/>
  <c r="K127"/>
  <c r="G127"/>
  <c r="K66"/>
  <c r="G66"/>
  <c r="K65"/>
  <c r="E65"/>
  <c r="G65" s="1"/>
  <c r="K64"/>
  <c r="G64"/>
  <c r="K63"/>
  <c r="F63"/>
  <c r="E63"/>
  <c r="K62"/>
  <c r="F62"/>
  <c r="E62"/>
  <c r="K61"/>
  <c r="G61"/>
  <c r="J60"/>
  <c r="I60"/>
  <c r="D60"/>
  <c r="K59"/>
  <c r="G59"/>
  <c r="K58"/>
  <c r="G58"/>
  <c r="K57"/>
  <c r="E57"/>
  <c r="G57" s="1"/>
  <c r="K56"/>
  <c r="E56"/>
  <c r="G56" s="1"/>
  <c r="K55"/>
  <c r="F55"/>
  <c r="F51" s="1"/>
  <c r="E55"/>
  <c r="K54"/>
  <c r="E54"/>
  <c r="G54" s="1"/>
  <c r="K53"/>
  <c r="G53"/>
  <c r="K52"/>
  <c r="E52"/>
  <c r="J51"/>
  <c r="J50" s="1"/>
  <c r="D51"/>
  <c r="K49"/>
  <c r="G49"/>
  <c r="K48"/>
  <c r="G48"/>
  <c r="K47"/>
  <c r="G47"/>
  <c r="K46"/>
  <c r="G46"/>
  <c r="K45"/>
  <c r="G45"/>
  <c r="K44"/>
  <c r="G44"/>
  <c r="K43"/>
  <c r="F43"/>
  <c r="E43"/>
  <c r="D43"/>
  <c r="K42"/>
  <c r="G42"/>
  <c r="K41"/>
  <c r="F41"/>
  <c r="E41"/>
  <c r="D41"/>
  <c r="K40"/>
  <c r="F40"/>
  <c r="E40"/>
  <c r="D40"/>
  <c r="K39"/>
  <c r="F39"/>
  <c r="E39"/>
  <c r="J38"/>
  <c r="I38"/>
  <c r="H38"/>
  <c r="K37"/>
  <c r="G37"/>
  <c r="K36"/>
  <c r="G36"/>
  <c r="K35"/>
  <c r="F35"/>
  <c r="E35"/>
  <c r="K34"/>
  <c r="F34"/>
  <c r="E34"/>
  <c r="K33"/>
  <c r="F33"/>
  <c r="E33"/>
  <c r="D33"/>
  <c r="K32"/>
  <c r="F32"/>
  <c r="E32"/>
  <c r="D32"/>
  <c r="K31"/>
  <c r="F31"/>
  <c r="E31"/>
  <c r="K30"/>
  <c r="F30"/>
  <c r="E30"/>
  <c r="J29"/>
  <c r="H29"/>
  <c r="H28" s="1"/>
  <c r="H27" s="1"/>
  <c r="D89"/>
  <c r="G30" l="1"/>
  <c r="G39"/>
  <c r="D50"/>
  <c r="F60"/>
  <c r="I28"/>
  <c r="G40"/>
  <c r="I50"/>
  <c r="K50" s="1"/>
  <c r="G43"/>
  <c r="K29"/>
  <c r="E60"/>
  <c r="D29"/>
  <c r="K38"/>
  <c r="K60"/>
  <c r="F50"/>
  <c r="E38"/>
  <c r="E29"/>
  <c r="G32"/>
  <c r="G33"/>
  <c r="D38"/>
  <c r="G34"/>
  <c r="G55"/>
  <c r="G35"/>
  <c r="G41"/>
  <c r="E51"/>
  <c r="G51" s="1"/>
  <c r="G62"/>
  <c r="K51"/>
  <c r="J28"/>
  <c r="K28" s="1"/>
  <c r="G60"/>
  <c r="G31"/>
  <c r="G63"/>
  <c r="E50"/>
  <c r="F38"/>
  <c r="F29"/>
  <c r="G52"/>
  <c r="I27" l="1"/>
  <c r="J27"/>
  <c r="D28"/>
  <c r="D27" s="1"/>
  <c r="G50"/>
  <c r="E28"/>
  <c r="G38"/>
  <c r="E27"/>
  <c r="G29"/>
  <c r="F28"/>
  <c r="K27" l="1"/>
  <c r="G28"/>
  <c r="F27"/>
  <c r="G27" s="1"/>
  <c r="K21" l="1"/>
  <c r="G21"/>
  <c r="K20"/>
  <c r="G20"/>
  <c r="K19"/>
  <c r="G19"/>
  <c r="K18"/>
  <c r="G18"/>
  <c r="J17"/>
  <c r="I17"/>
  <c r="H17"/>
  <c r="F17"/>
  <c r="E17"/>
  <c r="D17"/>
  <c r="K15"/>
  <c r="G15"/>
  <c r="K14"/>
  <c r="G14"/>
  <c r="K13"/>
  <c r="G13"/>
  <c r="K12"/>
  <c r="G12"/>
  <c r="K11"/>
  <c r="G11"/>
  <c r="K10"/>
  <c r="G10"/>
  <c r="J9"/>
  <c r="I9"/>
  <c r="I8" s="1"/>
  <c r="H9"/>
  <c r="F9"/>
  <c r="E9"/>
  <c r="E8" s="1"/>
  <c r="E7" s="1"/>
  <c r="D9"/>
  <c r="H8"/>
  <c r="D8"/>
  <c r="J24"/>
  <c r="I24"/>
  <c r="H24"/>
  <c r="E24"/>
  <c r="F24"/>
  <c r="D24"/>
  <c r="K25"/>
  <c r="G25"/>
  <c r="J122"/>
  <c r="I122"/>
  <c r="H122"/>
  <c r="E122"/>
  <c r="F122"/>
  <c r="D122"/>
  <c r="K126"/>
  <c r="G126"/>
  <c r="K125"/>
  <c r="G125"/>
  <c r="K124"/>
  <c r="G124"/>
  <c r="K123"/>
  <c r="G123"/>
  <c r="K9" l="1"/>
  <c r="H7"/>
  <c r="G9"/>
  <c r="G24"/>
  <c r="D7"/>
  <c r="I7"/>
  <c r="F8"/>
  <c r="G17"/>
  <c r="J8"/>
  <c r="K17"/>
  <c r="K24"/>
  <c r="H115"/>
  <c r="L116" l="1"/>
  <c r="K8"/>
  <c r="J7"/>
  <c r="K7" s="1"/>
  <c r="G8"/>
  <c r="F7"/>
  <c r="G7" s="1"/>
  <c r="G128" l="1"/>
  <c r="K128"/>
  <c r="K129"/>
  <c r="I106" l="1"/>
  <c r="M107" s="1"/>
  <c r="J106"/>
  <c r="N107" s="1"/>
  <c r="H106"/>
  <c r="L107" s="1"/>
  <c r="K121" l="1"/>
  <c r="K120"/>
  <c r="K119"/>
  <c r="K118"/>
  <c r="K117"/>
  <c r="K116"/>
  <c r="G121"/>
  <c r="G120"/>
  <c r="G119"/>
  <c r="G118"/>
  <c r="G117"/>
  <c r="G116"/>
  <c r="K114" l="1"/>
  <c r="K113"/>
  <c r="K112"/>
  <c r="K111"/>
  <c r="K110"/>
  <c r="K109"/>
  <c r="K108"/>
  <c r="K107"/>
  <c r="G114"/>
  <c r="G113"/>
  <c r="G112"/>
  <c r="G111"/>
  <c r="G110"/>
  <c r="G109"/>
  <c r="G108"/>
  <c r="G107"/>
  <c r="I115" l="1"/>
  <c r="M117" s="1"/>
  <c r="F115"/>
  <c r="E115"/>
  <c r="D115"/>
  <c r="F106"/>
  <c r="E106"/>
  <c r="D106"/>
  <c r="K105"/>
  <c r="G105"/>
  <c r="J104"/>
  <c r="I104"/>
  <c r="H104"/>
  <c r="F104"/>
  <c r="E104"/>
  <c r="D104"/>
  <c r="K103"/>
  <c r="G103"/>
  <c r="K102"/>
  <c r="G102"/>
  <c r="J101"/>
  <c r="I101"/>
  <c r="H101"/>
  <c r="F101"/>
  <c r="E101"/>
  <c r="D101"/>
  <c r="K100"/>
  <c r="G100"/>
  <c r="J99"/>
  <c r="I99"/>
  <c r="H99"/>
  <c r="F99"/>
  <c r="E99"/>
  <c r="D99"/>
  <c r="K98"/>
  <c r="K97"/>
  <c r="G97"/>
  <c r="J96"/>
  <c r="I96"/>
  <c r="H96"/>
  <c r="F96"/>
  <c r="E96"/>
  <c r="D96"/>
  <c r="K95"/>
  <c r="G95"/>
  <c r="J93"/>
  <c r="I93"/>
  <c r="H93"/>
  <c r="F93"/>
  <c r="E93"/>
  <c r="D93"/>
  <c r="K92"/>
  <c r="G92"/>
  <c r="K91"/>
  <c r="K90"/>
  <c r="G90"/>
  <c r="J89"/>
  <c r="I89"/>
  <c r="H89"/>
  <c r="F89"/>
  <c r="E89"/>
  <c r="K87"/>
  <c r="G87"/>
  <c r="K86"/>
  <c r="G86"/>
  <c r="K85"/>
  <c r="G85"/>
  <c r="J84"/>
  <c r="I84"/>
  <c r="H84"/>
  <c r="F84"/>
  <c r="E84"/>
  <c r="D84"/>
  <c r="K83"/>
  <c r="G83"/>
  <c r="K82"/>
  <c r="G82"/>
  <c r="K81"/>
  <c r="G81"/>
  <c r="K80"/>
  <c r="G80"/>
  <c r="K79"/>
  <c r="G79"/>
  <c r="I78"/>
  <c r="H78"/>
  <c r="F78"/>
  <c r="E78"/>
  <c r="D78"/>
  <c r="K77"/>
  <c r="G77"/>
  <c r="K76"/>
  <c r="G76"/>
  <c r="K75"/>
  <c r="G75"/>
  <c r="J74"/>
  <c r="I74"/>
  <c r="H74"/>
  <c r="F74"/>
  <c r="E74"/>
  <c r="D74"/>
  <c r="H23"/>
  <c r="I23"/>
  <c r="E23"/>
  <c r="D23"/>
  <c r="I73" l="1"/>
  <c r="H73"/>
  <c r="D88"/>
  <c r="M116"/>
  <c r="G115"/>
  <c r="G84"/>
  <c r="G89"/>
  <c r="K99"/>
  <c r="K101"/>
  <c r="E88"/>
  <c r="E73" s="1"/>
  <c r="K96"/>
  <c r="G99"/>
  <c r="G101"/>
  <c r="G104"/>
  <c r="G78"/>
  <c r="F88"/>
  <c r="F73" s="1"/>
  <c r="J23"/>
  <c r="K23" s="1"/>
  <c r="G93"/>
  <c r="G96"/>
  <c r="F23"/>
  <c r="G23" s="1"/>
  <c r="J115"/>
  <c r="G106"/>
  <c r="K106"/>
  <c r="I88"/>
  <c r="K93"/>
  <c r="K84"/>
  <c r="K74"/>
  <c r="H88"/>
  <c r="K89"/>
  <c r="J88"/>
  <c r="K104"/>
  <c r="G74"/>
  <c r="J78"/>
  <c r="J73" s="1"/>
  <c r="D72" l="1"/>
  <c r="D130" s="1"/>
  <c r="D73"/>
  <c r="N74"/>
  <c r="L74"/>
  <c r="H72"/>
  <c r="K115"/>
  <c r="N116"/>
  <c r="E72"/>
  <c r="G88"/>
  <c r="F72"/>
  <c r="K88"/>
  <c r="J72"/>
  <c r="K78"/>
  <c r="I72" l="1"/>
  <c r="M74"/>
  <c r="G73"/>
  <c r="K73"/>
  <c r="J124" i="22" l="1"/>
  <c r="J125" s="1"/>
  <c r="I124"/>
  <c r="I125" s="1"/>
  <c r="H124"/>
  <c r="H125" s="1"/>
  <c r="H121"/>
  <c r="K118"/>
  <c r="G118"/>
  <c r="K117"/>
  <c r="G117"/>
  <c r="K116"/>
  <c r="G116"/>
  <c r="K115"/>
  <c r="G115"/>
  <c r="K114"/>
  <c r="G114"/>
  <c r="J113"/>
  <c r="K113" s="1"/>
  <c r="I113"/>
  <c r="H113"/>
  <c r="F113"/>
  <c r="G113" s="1"/>
  <c r="E113"/>
  <c r="D113"/>
  <c r="J112"/>
  <c r="K112" s="1"/>
  <c r="G112"/>
  <c r="J111"/>
  <c r="K111" s="1"/>
  <c r="G111"/>
  <c r="J110"/>
  <c r="K110" s="1"/>
  <c r="G110"/>
  <c r="J109"/>
  <c r="K109" s="1"/>
  <c r="G109"/>
  <c r="K108"/>
  <c r="J108"/>
  <c r="G108"/>
  <c r="J107"/>
  <c r="K107" s="1"/>
  <c r="I107"/>
  <c r="H107"/>
  <c r="F107"/>
  <c r="G107" s="1"/>
  <c r="E107"/>
  <c r="D107"/>
  <c r="K106"/>
  <c r="K105"/>
  <c r="G105"/>
  <c r="K104"/>
  <c r="G104"/>
  <c r="K103"/>
  <c r="G103"/>
  <c r="J102"/>
  <c r="K102" s="1"/>
  <c r="I102"/>
  <c r="H102"/>
  <c r="F102"/>
  <c r="G102" s="1"/>
  <c r="E102"/>
  <c r="D102"/>
  <c r="K101"/>
  <c r="G101"/>
  <c r="G100"/>
  <c r="K99"/>
  <c r="G99"/>
  <c r="J98"/>
  <c r="K98" s="1"/>
  <c r="I98"/>
  <c r="H98"/>
  <c r="F98"/>
  <c r="G98" s="1"/>
  <c r="E98"/>
  <c r="D98"/>
  <c r="J97"/>
  <c r="K97" s="1"/>
  <c r="I97"/>
  <c r="H97"/>
  <c r="F97"/>
  <c r="G97" s="1"/>
  <c r="E97"/>
  <c r="D97"/>
  <c r="K96"/>
  <c r="G96"/>
  <c r="J95"/>
  <c r="K95" s="1"/>
  <c r="I95"/>
  <c r="H95"/>
  <c r="F95"/>
  <c r="G95" s="1"/>
  <c r="E95"/>
  <c r="D95"/>
  <c r="K94"/>
  <c r="G94"/>
  <c r="J93"/>
  <c r="I93"/>
  <c r="H93"/>
  <c r="F93"/>
  <c r="E93"/>
  <c r="D93"/>
  <c r="K92"/>
  <c r="G92"/>
  <c r="K91"/>
  <c r="G91"/>
  <c r="K90"/>
  <c r="G90"/>
  <c r="J89"/>
  <c r="K89" s="1"/>
  <c r="I89"/>
  <c r="H89"/>
  <c r="F89"/>
  <c r="G89" s="1"/>
  <c r="E89"/>
  <c r="D89"/>
  <c r="K88"/>
  <c r="G88"/>
  <c r="K87"/>
  <c r="G87"/>
  <c r="K86"/>
  <c r="G86"/>
  <c r="J85"/>
  <c r="K85" s="1"/>
  <c r="I85"/>
  <c r="H85"/>
  <c r="F85"/>
  <c r="G85" s="1"/>
  <c r="E85"/>
  <c r="D85"/>
  <c r="K84"/>
  <c r="K83"/>
  <c r="G83"/>
  <c r="K82"/>
  <c r="G82"/>
  <c r="J81"/>
  <c r="I81"/>
  <c r="K81" s="1"/>
  <c r="H81"/>
  <c r="F81"/>
  <c r="E81"/>
  <c r="G81" s="1"/>
  <c r="D81"/>
  <c r="K80"/>
  <c r="G80"/>
  <c r="K79"/>
  <c r="G79"/>
  <c r="K78"/>
  <c r="G78"/>
  <c r="J77"/>
  <c r="K77" s="1"/>
  <c r="I77"/>
  <c r="H77"/>
  <c r="F77"/>
  <c r="G77" s="1"/>
  <c r="E77"/>
  <c r="D77"/>
  <c r="J76"/>
  <c r="K76" s="1"/>
  <c r="G76"/>
  <c r="K75"/>
  <c r="K74"/>
  <c r="G74"/>
  <c r="J73"/>
  <c r="K73" s="1"/>
  <c r="I73"/>
  <c r="H73"/>
  <c r="F73"/>
  <c r="G73" s="1"/>
  <c r="E73"/>
  <c r="D73"/>
  <c r="J72"/>
  <c r="K72" s="1"/>
  <c r="I72"/>
  <c r="H72"/>
  <c r="F72"/>
  <c r="G72" s="1"/>
  <c r="G71" s="1"/>
  <c r="E72"/>
  <c r="D72"/>
  <c r="K71"/>
  <c r="K70"/>
  <c r="G70"/>
  <c r="K69"/>
  <c r="G69"/>
  <c r="J68"/>
  <c r="K68" s="1"/>
  <c r="G68"/>
  <c r="K67"/>
  <c r="G67"/>
  <c r="K66"/>
  <c r="J65"/>
  <c r="K65" s="1"/>
  <c r="I65"/>
  <c r="H65"/>
  <c r="F65"/>
  <c r="G65" s="1"/>
  <c r="E65"/>
  <c r="D65"/>
  <c r="K64"/>
  <c r="G64"/>
  <c r="J63"/>
  <c r="K63" s="1"/>
  <c r="G63"/>
  <c r="J62"/>
  <c r="K62" s="1"/>
  <c r="G62"/>
  <c r="K61"/>
  <c r="G61"/>
  <c r="J60"/>
  <c r="K60" s="1"/>
  <c r="G60"/>
  <c r="J59"/>
  <c r="K59" s="1"/>
  <c r="I59"/>
  <c r="H59"/>
  <c r="F59"/>
  <c r="G59" s="1"/>
  <c r="E59"/>
  <c r="D59"/>
  <c r="K58"/>
  <c r="G58"/>
  <c r="J57"/>
  <c r="K57" s="1"/>
  <c r="H57"/>
  <c r="G57"/>
  <c r="K56"/>
  <c r="G56"/>
  <c r="J55"/>
  <c r="K55" s="1"/>
  <c r="G55"/>
  <c r="J54"/>
  <c r="K54" s="1"/>
  <c r="I54"/>
  <c r="H54"/>
  <c r="F54"/>
  <c r="E54"/>
  <c r="G54" s="1"/>
  <c r="G53" s="1"/>
  <c r="D54"/>
  <c r="J53"/>
  <c r="K53" s="1"/>
  <c r="I53"/>
  <c r="H53"/>
  <c r="F53"/>
  <c r="E53"/>
  <c r="D53"/>
  <c r="J52"/>
  <c r="J122" s="1"/>
  <c r="I52"/>
  <c r="I122" s="1"/>
  <c r="I129" s="1"/>
  <c r="H52"/>
  <c r="H122" s="1"/>
  <c r="H129" s="1"/>
  <c r="F52"/>
  <c r="F122" s="1"/>
  <c r="E52"/>
  <c r="E122" s="1"/>
  <c r="D52"/>
  <c r="K50"/>
  <c r="G50"/>
  <c r="K49"/>
  <c r="G49"/>
  <c r="K48"/>
  <c r="G48"/>
  <c r="K47"/>
  <c r="G47"/>
  <c r="K46"/>
  <c r="G46"/>
  <c r="K45"/>
  <c r="G45"/>
  <c r="K44"/>
  <c r="G44"/>
  <c r="K43"/>
  <c r="G43"/>
  <c r="K42"/>
  <c r="G42"/>
  <c r="K41"/>
  <c r="G41"/>
  <c r="K40"/>
  <c r="G40"/>
  <c r="J39"/>
  <c r="K39" s="1"/>
  <c r="I39"/>
  <c r="H39"/>
  <c r="F39"/>
  <c r="G39" s="1"/>
  <c r="E39"/>
  <c r="D39"/>
  <c r="K38"/>
  <c r="G38"/>
  <c r="K37"/>
  <c r="G37"/>
  <c r="K36"/>
  <c r="G36"/>
  <c r="K35"/>
  <c r="G35"/>
  <c r="K34"/>
  <c r="G34"/>
  <c r="K33"/>
  <c r="G33"/>
  <c r="K32"/>
  <c r="G32"/>
  <c r="K31"/>
  <c r="G31"/>
  <c r="J30"/>
  <c r="K30" s="1"/>
  <c r="I30"/>
  <c r="H30"/>
  <c r="F30"/>
  <c r="G30" s="1"/>
  <c r="E30"/>
  <c r="D30"/>
  <c r="J29"/>
  <c r="K29" s="1"/>
  <c r="I29"/>
  <c r="H29"/>
  <c r="F29"/>
  <c r="G29" s="1"/>
  <c r="E29"/>
  <c r="D29"/>
  <c r="J28"/>
  <c r="K28" s="1"/>
  <c r="I28"/>
  <c r="H28"/>
  <c r="F28"/>
  <c r="G28" s="1"/>
  <c r="E28"/>
  <c r="D28"/>
  <c r="K26"/>
  <c r="G26"/>
  <c r="J25"/>
  <c r="K25" s="1"/>
  <c r="I25"/>
  <c r="H25"/>
  <c r="F25"/>
  <c r="G25" s="1"/>
  <c r="E25"/>
  <c r="D25"/>
  <c r="J24"/>
  <c r="K24" s="1"/>
  <c r="I24"/>
  <c r="H24"/>
  <c r="F24"/>
  <c r="G24" s="1"/>
  <c r="E24"/>
  <c r="D24"/>
  <c r="G22"/>
  <c r="K21"/>
  <c r="G21"/>
  <c r="K20"/>
  <c r="G20"/>
  <c r="K19"/>
  <c r="G19"/>
  <c r="K18"/>
  <c r="G18"/>
  <c r="J17"/>
  <c r="I17"/>
  <c r="K17" s="1"/>
  <c r="H17"/>
  <c r="F17"/>
  <c r="E17"/>
  <c r="G17" s="1"/>
  <c r="D17"/>
  <c r="D7" s="1"/>
  <c r="K15"/>
  <c r="G15"/>
  <c r="K14"/>
  <c r="G14"/>
  <c r="K13"/>
  <c r="G13"/>
  <c r="K12"/>
  <c r="G12"/>
  <c r="K11"/>
  <c r="G11"/>
  <c r="K10"/>
  <c r="G10"/>
  <c r="J9"/>
  <c r="K9" s="1"/>
  <c r="I9"/>
  <c r="H9"/>
  <c r="F9"/>
  <c r="G9" s="1"/>
  <c r="E9"/>
  <c r="D9"/>
  <c r="J8"/>
  <c r="K8" s="1"/>
  <c r="I8"/>
  <c r="H8"/>
  <c r="F8"/>
  <c r="G8" s="1"/>
  <c r="E8"/>
  <c r="D8"/>
  <c r="J7"/>
  <c r="K7" s="1"/>
  <c r="I7"/>
  <c r="H7"/>
  <c r="F7"/>
  <c r="G7" s="1"/>
  <c r="E7"/>
  <c r="J129" l="1"/>
  <c r="K122"/>
  <c r="D122"/>
  <c r="G122"/>
  <c r="G52"/>
  <c r="K52"/>
  <c r="J63" i="21"/>
  <c r="J71"/>
  <c r="J65"/>
  <c r="J60"/>
  <c r="J59" l="1"/>
  <c r="I71" l="1"/>
  <c r="G75" l="1"/>
  <c r="H63" l="1"/>
  <c r="D59"/>
  <c r="D71"/>
  <c r="H71"/>
  <c r="H65"/>
  <c r="H60"/>
  <c r="H79" l="1"/>
  <c r="H83" l="1"/>
  <c r="H108" l="1"/>
  <c r="H104"/>
  <c r="K112" l="1"/>
  <c r="J108"/>
  <c r="J104"/>
  <c r="K124"/>
  <c r="G124"/>
  <c r="K123"/>
  <c r="G123"/>
  <c r="K122"/>
  <c r="G122"/>
  <c r="K121"/>
  <c r="G121"/>
  <c r="K120"/>
  <c r="G120"/>
  <c r="J119"/>
  <c r="H119"/>
  <c r="F119"/>
  <c r="E119"/>
  <c r="D119"/>
  <c r="J118"/>
  <c r="K118" s="1"/>
  <c r="G118"/>
  <c r="J117"/>
  <c r="K117" s="1"/>
  <c r="G117"/>
  <c r="J116"/>
  <c r="K116" s="1"/>
  <c r="G116"/>
  <c r="J115"/>
  <c r="K115" s="1"/>
  <c r="G115"/>
  <c r="J114"/>
  <c r="G114"/>
  <c r="I113"/>
  <c r="H113"/>
  <c r="F113"/>
  <c r="E113"/>
  <c r="D113"/>
  <c r="K111"/>
  <c r="G111"/>
  <c r="K110"/>
  <c r="G110"/>
  <c r="G109"/>
  <c r="F108"/>
  <c r="G108" s="1"/>
  <c r="E108"/>
  <c r="D108"/>
  <c r="K107"/>
  <c r="G107"/>
  <c r="G106"/>
  <c r="K105"/>
  <c r="H103"/>
  <c r="G105"/>
  <c r="I104"/>
  <c r="F104"/>
  <c r="E104"/>
  <c r="D104"/>
  <c r="E103"/>
  <c r="K102"/>
  <c r="G102"/>
  <c r="J101"/>
  <c r="I101"/>
  <c r="H101"/>
  <c r="F101"/>
  <c r="E101"/>
  <c r="G101" s="1"/>
  <c r="D101"/>
  <c r="J99"/>
  <c r="I99"/>
  <c r="G100"/>
  <c r="H99"/>
  <c r="F99"/>
  <c r="E99"/>
  <c r="D99"/>
  <c r="K98"/>
  <c r="G98"/>
  <c r="K97"/>
  <c r="G97"/>
  <c r="K96"/>
  <c r="J95"/>
  <c r="I95"/>
  <c r="H95"/>
  <c r="E95"/>
  <c r="D95"/>
  <c r="K94"/>
  <c r="G94"/>
  <c r="K93"/>
  <c r="G93"/>
  <c r="K92"/>
  <c r="G92"/>
  <c r="J91"/>
  <c r="I91"/>
  <c r="H91"/>
  <c r="F91"/>
  <c r="E91"/>
  <c r="D91"/>
  <c r="K90"/>
  <c r="K89"/>
  <c r="G89"/>
  <c r="K88"/>
  <c r="G88"/>
  <c r="J87"/>
  <c r="I87"/>
  <c r="H87"/>
  <c r="F87"/>
  <c r="E87"/>
  <c r="D87"/>
  <c r="K86"/>
  <c r="G86"/>
  <c r="K85"/>
  <c r="G85"/>
  <c r="K84"/>
  <c r="G84"/>
  <c r="J83"/>
  <c r="I83"/>
  <c r="F83"/>
  <c r="E83"/>
  <c r="D83"/>
  <c r="K82"/>
  <c r="G82"/>
  <c r="K81"/>
  <c r="K80"/>
  <c r="G80"/>
  <c r="J79"/>
  <c r="I79"/>
  <c r="F79"/>
  <c r="E79"/>
  <c r="D79"/>
  <c r="K77"/>
  <c r="K76"/>
  <c r="G76"/>
  <c r="K75"/>
  <c r="G74"/>
  <c r="K73"/>
  <c r="G73"/>
  <c r="K72"/>
  <c r="F71"/>
  <c r="E71"/>
  <c r="K70"/>
  <c r="G70"/>
  <c r="G69"/>
  <c r="K68"/>
  <c r="G68"/>
  <c r="K67"/>
  <c r="G67"/>
  <c r="K66"/>
  <c r="G66"/>
  <c r="F65"/>
  <c r="E65"/>
  <c r="D65"/>
  <c r="K64"/>
  <c r="G64"/>
  <c r="K63"/>
  <c r="G63"/>
  <c r="K62"/>
  <c r="G62"/>
  <c r="K61"/>
  <c r="G61"/>
  <c r="I60"/>
  <c r="F60"/>
  <c r="E60"/>
  <c r="D60"/>
  <c r="H57"/>
  <c r="K56"/>
  <c r="G56"/>
  <c r="J55"/>
  <c r="I55"/>
  <c r="H55"/>
  <c r="F55"/>
  <c r="E55"/>
  <c r="D55"/>
  <c r="J54"/>
  <c r="I54"/>
  <c r="H54"/>
  <c r="F54"/>
  <c r="E54"/>
  <c r="D54"/>
  <c r="H53"/>
  <c r="K52"/>
  <c r="G52"/>
  <c r="K51"/>
  <c r="G51"/>
  <c r="K50"/>
  <c r="G50"/>
  <c r="K49"/>
  <c r="G49"/>
  <c r="K48"/>
  <c r="G48"/>
  <c r="K47"/>
  <c r="G47"/>
  <c r="K46"/>
  <c r="G46"/>
  <c r="K45"/>
  <c r="F45"/>
  <c r="E45"/>
  <c r="K44"/>
  <c r="F44"/>
  <c r="E44"/>
  <c r="G44" s="1"/>
  <c r="K43"/>
  <c r="F43"/>
  <c r="F42" s="1"/>
  <c r="E43"/>
  <c r="J42"/>
  <c r="I42"/>
  <c r="H42"/>
  <c r="D42"/>
  <c r="K41"/>
  <c r="G41"/>
  <c r="K40"/>
  <c r="G40"/>
  <c r="K39"/>
  <c r="F39"/>
  <c r="E39"/>
  <c r="K38"/>
  <c r="F38"/>
  <c r="E38"/>
  <c r="G38" s="1"/>
  <c r="K37"/>
  <c r="F37"/>
  <c r="E37"/>
  <c r="K36"/>
  <c r="F36"/>
  <c r="E36"/>
  <c r="G36" s="1"/>
  <c r="K35"/>
  <c r="F35"/>
  <c r="E35"/>
  <c r="K34"/>
  <c r="F34"/>
  <c r="E34"/>
  <c r="E33" s="1"/>
  <c r="J33"/>
  <c r="I33"/>
  <c r="I32" s="1"/>
  <c r="H33"/>
  <c r="F33"/>
  <c r="G33" s="1"/>
  <c r="D33"/>
  <c r="J32"/>
  <c r="H32"/>
  <c r="D32"/>
  <c r="K31"/>
  <c r="G31"/>
  <c r="K30"/>
  <c r="G30"/>
  <c r="K29"/>
  <c r="G29"/>
  <c r="K28"/>
  <c r="G28"/>
  <c r="K27"/>
  <c r="G27"/>
  <c r="J26"/>
  <c r="I26"/>
  <c r="H26"/>
  <c r="F26"/>
  <c r="G26" s="1"/>
  <c r="E26"/>
  <c r="D26"/>
  <c r="J25"/>
  <c r="I25"/>
  <c r="H25"/>
  <c r="F25"/>
  <c r="G25" s="1"/>
  <c r="E25"/>
  <c r="D25"/>
  <c r="D24" s="1"/>
  <c r="I23"/>
  <c r="H23"/>
  <c r="J22"/>
  <c r="K22" s="1"/>
  <c r="I22"/>
  <c r="H22"/>
  <c r="H17" s="1"/>
  <c r="G22"/>
  <c r="J21"/>
  <c r="I21"/>
  <c r="G21"/>
  <c r="J20"/>
  <c r="I20"/>
  <c r="K20" s="1"/>
  <c r="G20"/>
  <c r="J19"/>
  <c r="I19"/>
  <c r="G19"/>
  <c r="J18"/>
  <c r="I18"/>
  <c r="K18" s="1"/>
  <c r="G18"/>
  <c r="I17"/>
  <c r="F17"/>
  <c r="E17"/>
  <c r="D17"/>
  <c r="K16"/>
  <c r="I16"/>
  <c r="H16"/>
  <c r="K15"/>
  <c r="G15"/>
  <c r="K14"/>
  <c r="G14"/>
  <c r="K13"/>
  <c r="G13"/>
  <c r="K12"/>
  <c r="G12"/>
  <c r="K11"/>
  <c r="G11"/>
  <c r="K10"/>
  <c r="G10"/>
  <c r="J9"/>
  <c r="I9"/>
  <c r="H9"/>
  <c r="F9"/>
  <c r="E9"/>
  <c r="D9"/>
  <c r="J8"/>
  <c r="I8"/>
  <c r="F8"/>
  <c r="D8"/>
  <c r="C7"/>
  <c r="G119" l="1"/>
  <c r="K95"/>
  <c r="I78"/>
  <c r="I59" s="1"/>
  <c r="G83"/>
  <c r="G79"/>
  <c r="G91"/>
  <c r="G87"/>
  <c r="G60"/>
  <c r="D78"/>
  <c r="I24"/>
  <c r="E8"/>
  <c r="E7" s="1"/>
  <c r="D7"/>
  <c r="G9"/>
  <c r="H8"/>
  <c r="H7" s="1"/>
  <c r="H24"/>
  <c r="K42"/>
  <c r="G54"/>
  <c r="G55"/>
  <c r="I7"/>
  <c r="D103"/>
  <c r="G8"/>
  <c r="G7" s="1"/>
  <c r="K32"/>
  <c r="E78"/>
  <c r="E59" s="1"/>
  <c r="E58" s="1"/>
  <c r="F7"/>
  <c r="K8"/>
  <c r="K9"/>
  <c r="K19"/>
  <c r="K21"/>
  <c r="J24"/>
  <c r="K24" s="1"/>
  <c r="K25"/>
  <c r="K26"/>
  <c r="F32"/>
  <c r="F24" s="1"/>
  <c r="K33"/>
  <c r="G35"/>
  <c r="G37"/>
  <c r="G39"/>
  <c r="E42"/>
  <c r="G42" s="1"/>
  <c r="G45"/>
  <c r="K54"/>
  <c r="K55"/>
  <c r="G65"/>
  <c r="I65"/>
  <c r="K74"/>
  <c r="K79"/>
  <c r="H78"/>
  <c r="H59" s="1"/>
  <c r="K83"/>
  <c r="K87"/>
  <c r="K91"/>
  <c r="K101"/>
  <c r="G104"/>
  <c r="G113"/>
  <c r="I119"/>
  <c r="K119" s="1"/>
  <c r="J103"/>
  <c r="G96"/>
  <c r="K104"/>
  <c r="K109"/>
  <c r="J113"/>
  <c r="K113" s="1"/>
  <c r="K114"/>
  <c r="G17"/>
  <c r="G34"/>
  <c r="G43"/>
  <c r="K69"/>
  <c r="G71"/>
  <c r="K100"/>
  <c r="J17"/>
  <c r="J78"/>
  <c r="F95"/>
  <c r="G95" s="1"/>
  <c r="F103"/>
  <c r="G103" s="1"/>
  <c r="I108"/>
  <c r="I103" s="1"/>
  <c r="F108" i="19"/>
  <c r="E108"/>
  <c r="D108"/>
  <c r="F104"/>
  <c r="E104"/>
  <c r="E103" s="1"/>
  <c r="D104"/>
  <c r="F101"/>
  <c r="E101"/>
  <c r="D101"/>
  <c r="F99"/>
  <c r="E99"/>
  <c r="D99"/>
  <c r="F96"/>
  <c r="F95" s="1"/>
  <c r="E96"/>
  <c r="E95" s="1"/>
  <c r="D95"/>
  <c r="F91"/>
  <c r="E91"/>
  <c r="D91"/>
  <c r="F87"/>
  <c r="E87"/>
  <c r="D87"/>
  <c r="F83"/>
  <c r="E83"/>
  <c r="D83"/>
  <c r="F79"/>
  <c r="E79"/>
  <c r="D79"/>
  <c r="D78" s="1"/>
  <c r="F75"/>
  <c r="F71" s="1"/>
  <c r="E75"/>
  <c r="E71" s="1"/>
  <c r="D71"/>
  <c r="F65"/>
  <c r="E65"/>
  <c r="D65"/>
  <c r="F60"/>
  <c r="E60"/>
  <c r="D60"/>
  <c r="D59" s="1"/>
  <c r="E108" i="20"/>
  <c r="F108"/>
  <c r="E91"/>
  <c r="F91"/>
  <c r="E87"/>
  <c r="F87"/>
  <c r="E83"/>
  <c r="F83"/>
  <c r="E79"/>
  <c r="F79"/>
  <c r="E65"/>
  <c r="F65"/>
  <c r="K78" i="21" l="1"/>
  <c r="K60"/>
  <c r="K59"/>
  <c r="H58"/>
  <c r="H129" s="1"/>
  <c r="E32"/>
  <c r="E78" i="19"/>
  <c r="E59" s="1"/>
  <c r="F78"/>
  <c r="F59" s="1"/>
  <c r="D103"/>
  <c r="F103"/>
  <c r="K65" i="21"/>
  <c r="D58"/>
  <c r="D129" s="1"/>
  <c r="K17"/>
  <c r="J7"/>
  <c r="K108"/>
  <c r="K103"/>
  <c r="K71"/>
  <c r="F78"/>
  <c r="F59" s="1"/>
  <c r="I58"/>
  <c r="I129" s="1"/>
  <c r="E24" l="1"/>
  <c r="G32"/>
  <c r="J58"/>
  <c r="K58" s="1"/>
  <c r="K7"/>
  <c r="G78"/>
  <c r="F58"/>
  <c r="E60" i="20"/>
  <c r="F60"/>
  <c r="I126"/>
  <c r="H126"/>
  <c r="J125"/>
  <c r="I125"/>
  <c r="H125"/>
  <c r="F125"/>
  <c r="E125"/>
  <c r="K123"/>
  <c r="G123"/>
  <c r="K122"/>
  <c r="G122"/>
  <c r="K121"/>
  <c r="G121"/>
  <c r="K120"/>
  <c r="G120"/>
  <c r="J119"/>
  <c r="J118" s="1"/>
  <c r="I119"/>
  <c r="K119" s="1"/>
  <c r="G119"/>
  <c r="I118"/>
  <c r="H118"/>
  <c r="F118"/>
  <c r="E118"/>
  <c r="G118" s="1"/>
  <c r="D118"/>
  <c r="I117"/>
  <c r="J117" s="1"/>
  <c r="K117" s="1"/>
  <c r="G117"/>
  <c r="I116"/>
  <c r="J116" s="1"/>
  <c r="K116" s="1"/>
  <c r="G116"/>
  <c r="I115"/>
  <c r="J115" s="1"/>
  <c r="K115" s="1"/>
  <c r="G115"/>
  <c r="I114"/>
  <c r="J114" s="1"/>
  <c r="K114" s="1"/>
  <c r="G114"/>
  <c r="I113"/>
  <c r="J113" s="1"/>
  <c r="G113"/>
  <c r="I112"/>
  <c r="H112"/>
  <c r="F112"/>
  <c r="E112"/>
  <c r="G112" s="1"/>
  <c r="D112"/>
  <c r="I111"/>
  <c r="J111" s="1"/>
  <c r="K111" s="1"/>
  <c r="H111"/>
  <c r="G111"/>
  <c r="J110"/>
  <c r="I110"/>
  <c r="K110" s="1"/>
  <c r="H110"/>
  <c r="G110"/>
  <c r="I109"/>
  <c r="J109" s="1"/>
  <c r="H109"/>
  <c r="H108" s="1"/>
  <c r="G109"/>
  <c r="G108"/>
  <c r="D108"/>
  <c r="K107"/>
  <c r="H107"/>
  <c r="G107"/>
  <c r="H106"/>
  <c r="G106"/>
  <c r="E104"/>
  <c r="E103" s="1"/>
  <c r="K105"/>
  <c r="J105"/>
  <c r="H105"/>
  <c r="G105"/>
  <c r="J104"/>
  <c r="K104" s="1"/>
  <c r="I104"/>
  <c r="H104"/>
  <c r="F104"/>
  <c r="D104"/>
  <c r="D103"/>
  <c r="K102"/>
  <c r="G102"/>
  <c r="J101"/>
  <c r="I101"/>
  <c r="H101"/>
  <c r="F101"/>
  <c r="G101" s="1"/>
  <c r="E101"/>
  <c r="D101"/>
  <c r="J100"/>
  <c r="J99" s="1"/>
  <c r="I100"/>
  <c r="I99" s="1"/>
  <c r="G100"/>
  <c r="E99"/>
  <c r="H99"/>
  <c r="F99"/>
  <c r="D99"/>
  <c r="K98"/>
  <c r="G98"/>
  <c r="K97"/>
  <c r="G97"/>
  <c r="K96"/>
  <c r="F96"/>
  <c r="F95" s="1"/>
  <c r="E96"/>
  <c r="E95" s="1"/>
  <c r="E78" s="1"/>
  <c r="J95"/>
  <c r="I95"/>
  <c r="H95"/>
  <c r="G95"/>
  <c r="D95"/>
  <c r="K94"/>
  <c r="G94"/>
  <c r="K93"/>
  <c r="G93"/>
  <c r="K92"/>
  <c r="G92"/>
  <c r="J91"/>
  <c r="K91" s="1"/>
  <c r="I91"/>
  <c r="H91"/>
  <c r="G91"/>
  <c r="D91"/>
  <c r="K90"/>
  <c r="K89"/>
  <c r="G89"/>
  <c r="K88"/>
  <c r="G88"/>
  <c r="J87"/>
  <c r="I87"/>
  <c r="H87"/>
  <c r="G87"/>
  <c r="D87"/>
  <c r="K86"/>
  <c r="G86"/>
  <c r="K85"/>
  <c r="G85"/>
  <c r="K84"/>
  <c r="G84"/>
  <c r="J83"/>
  <c r="I83"/>
  <c r="H83"/>
  <c r="G83"/>
  <c r="D83"/>
  <c r="K82"/>
  <c r="G82"/>
  <c r="K81"/>
  <c r="K80"/>
  <c r="G80"/>
  <c r="J79"/>
  <c r="I79"/>
  <c r="H79"/>
  <c r="G79"/>
  <c r="D79"/>
  <c r="H78"/>
  <c r="K77"/>
  <c r="K76"/>
  <c r="G76"/>
  <c r="K75"/>
  <c r="F75"/>
  <c r="F71" s="1"/>
  <c r="E75"/>
  <c r="E71" s="1"/>
  <c r="J74"/>
  <c r="K74" s="1"/>
  <c r="I74"/>
  <c r="G74"/>
  <c r="K73"/>
  <c r="G73"/>
  <c r="K72"/>
  <c r="J71"/>
  <c r="K71" s="1"/>
  <c r="I71"/>
  <c r="H71"/>
  <c r="D71"/>
  <c r="K70"/>
  <c r="G70"/>
  <c r="J69"/>
  <c r="I69"/>
  <c r="K69" s="1"/>
  <c r="H69"/>
  <c r="H65" s="1"/>
  <c r="G69"/>
  <c r="K68"/>
  <c r="G68"/>
  <c r="J67"/>
  <c r="K67" s="1"/>
  <c r="I67"/>
  <c r="G67"/>
  <c r="K66"/>
  <c r="G66"/>
  <c r="I65"/>
  <c r="G65"/>
  <c r="D65"/>
  <c r="K64"/>
  <c r="G64"/>
  <c r="J63"/>
  <c r="I63"/>
  <c r="I60" s="1"/>
  <c r="G63"/>
  <c r="K62"/>
  <c r="G62"/>
  <c r="K61"/>
  <c r="G61"/>
  <c r="J60"/>
  <c r="H60"/>
  <c r="D60"/>
  <c r="H57"/>
  <c r="K56"/>
  <c r="G56"/>
  <c r="J55"/>
  <c r="I55"/>
  <c r="K55" s="1"/>
  <c r="H55"/>
  <c r="F55"/>
  <c r="E55"/>
  <c r="G55" s="1"/>
  <c r="D55"/>
  <c r="J54"/>
  <c r="I54"/>
  <c r="K54" s="1"/>
  <c r="H54"/>
  <c r="F54"/>
  <c r="E54"/>
  <c r="G54" s="1"/>
  <c r="D54"/>
  <c r="H53"/>
  <c r="H32" s="1"/>
  <c r="H24" s="1"/>
  <c r="K52"/>
  <c r="G52"/>
  <c r="K51"/>
  <c r="G51"/>
  <c r="K50"/>
  <c r="G50"/>
  <c r="K49"/>
  <c r="G49"/>
  <c r="K48"/>
  <c r="G48"/>
  <c r="K47"/>
  <c r="G47"/>
  <c r="K46"/>
  <c r="G46"/>
  <c r="K45"/>
  <c r="F45"/>
  <c r="E45"/>
  <c r="G45" s="1"/>
  <c r="K44"/>
  <c r="F44"/>
  <c r="E44"/>
  <c r="G44" s="1"/>
  <c r="K43"/>
  <c r="F43"/>
  <c r="E43"/>
  <c r="E42" s="1"/>
  <c r="J42"/>
  <c r="I42"/>
  <c r="H42"/>
  <c r="F42"/>
  <c r="D42"/>
  <c r="K41"/>
  <c r="G41"/>
  <c r="K40"/>
  <c r="G40"/>
  <c r="K39"/>
  <c r="F39"/>
  <c r="E39"/>
  <c r="G39" s="1"/>
  <c r="K38"/>
  <c r="F38"/>
  <c r="E38"/>
  <c r="G38" s="1"/>
  <c r="K37"/>
  <c r="F37"/>
  <c r="E37"/>
  <c r="G37" s="1"/>
  <c r="K36"/>
  <c r="F36"/>
  <c r="E36"/>
  <c r="G36" s="1"/>
  <c r="K35"/>
  <c r="F35"/>
  <c r="E35"/>
  <c r="G35" s="1"/>
  <c r="K34"/>
  <c r="F34"/>
  <c r="E34"/>
  <c r="E33" s="1"/>
  <c r="J33"/>
  <c r="J32" s="1"/>
  <c r="I33"/>
  <c r="I32" s="1"/>
  <c r="I24" s="1"/>
  <c r="H33"/>
  <c r="F33"/>
  <c r="D33"/>
  <c r="F32"/>
  <c r="D32"/>
  <c r="K31"/>
  <c r="G31"/>
  <c r="K30"/>
  <c r="G30"/>
  <c r="K29"/>
  <c r="G29"/>
  <c r="K28"/>
  <c r="G28"/>
  <c r="K27"/>
  <c r="G27"/>
  <c r="J26"/>
  <c r="I26"/>
  <c r="K26" s="1"/>
  <c r="H26"/>
  <c r="F26"/>
  <c r="F25" s="1"/>
  <c r="G25" s="1"/>
  <c r="E26"/>
  <c r="D26"/>
  <c r="D25" s="1"/>
  <c r="D24" s="1"/>
  <c r="J25"/>
  <c r="I25"/>
  <c r="K25" s="1"/>
  <c r="H25"/>
  <c r="E25"/>
  <c r="I23"/>
  <c r="H23"/>
  <c r="H17" s="1"/>
  <c r="J22"/>
  <c r="I22"/>
  <c r="H22"/>
  <c r="G22"/>
  <c r="J21"/>
  <c r="K21" s="1"/>
  <c r="I21"/>
  <c r="G21"/>
  <c r="J20"/>
  <c r="K20" s="1"/>
  <c r="I20"/>
  <c r="G20"/>
  <c r="J19"/>
  <c r="K19" s="1"/>
  <c r="I19"/>
  <c r="G19"/>
  <c r="J18"/>
  <c r="K18" s="1"/>
  <c r="I18"/>
  <c r="G18"/>
  <c r="I17"/>
  <c r="F17"/>
  <c r="G17" s="1"/>
  <c r="E17"/>
  <c r="D17"/>
  <c r="I16"/>
  <c r="K16" s="1"/>
  <c r="H16"/>
  <c r="H8" s="1"/>
  <c r="H7" s="1"/>
  <c r="K15"/>
  <c r="G15"/>
  <c r="K14"/>
  <c r="G14"/>
  <c r="K13"/>
  <c r="G13"/>
  <c r="K12"/>
  <c r="G12"/>
  <c r="K11"/>
  <c r="G11"/>
  <c r="K10"/>
  <c r="G10"/>
  <c r="J9"/>
  <c r="I9"/>
  <c r="H9"/>
  <c r="F9"/>
  <c r="G9" s="1"/>
  <c r="E9"/>
  <c r="D9"/>
  <c r="J8"/>
  <c r="I8"/>
  <c r="I7" s="1"/>
  <c r="F8"/>
  <c r="G8" s="1"/>
  <c r="G7" s="1"/>
  <c r="E8"/>
  <c r="D8"/>
  <c r="D7" s="1"/>
  <c r="E7"/>
  <c r="C7"/>
  <c r="G71" l="1"/>
  <c r="G77" i="21"/>
  <c r="G59" s="1"/>
  <c r="G24"/>
  <c r="E129"/>
  <c r="E32" i="20"/>
  <c r="E24" s="1"/>
  <c r="J112"/>
  <c r="K112" s="1"/>
  <c r="K113"/>
  <c r="G32"/>
  <c r="G33"/>
  <c r="G34"/>
  <c r="G42"/>
  <c r="G43"/>
  <c r="I78"/>
  <c r="G96"/>
  <c r="H103"/>
  <c r="K8"/>
  <c r="K9"/>
  <c r="J17"/>
  <c r="K17" s="1"/>
  <c r="K22"/>
  <c r="G26"/>
  <c r="K42"/>
  <c r="H59"/>
  <c r="H58" s="1"/>
  <c r="H128" s="1"/>
  <c r="K63"/>
  <c r="J65"/>
  <c r="K65" s="1"/>
  <c r="D78"/>
  <c r="D59" s="1"/>
  <c r="D58" s="1"/>
  <c r="D128" s="1"/>
  <c r="K79"/>
  <c r="K87"/>
  <c r="K95"/>
  <c r="K101"/>
  <c r="G104"/>
  <c r="F103"/>
  <c r="G103" s="1"/>
  <c r="J129" i="21"/>
  <c r="K129" s="1"/>
  <c r="G58"/>
  <c r="F129"/>
  <c r="G60" i="20"/>
  <c r="E59"/>
  <c r="E58" s="1"/>
  <c r="K118"/>
  <c r="K109"/>
  <c r="J108"/>
  <c r="K60"/>
  <c r="I59"/>
  <c r="I58" s="1"/>
  <c r="K32"/>
  <c r="J24"/>
  <c r="K24" s="1"/>
  <c r="F24"/>
  <c r="F78"/>
  <c r="J78"/>
  <c r="K78" s="1"/>
  <c r="K83"/>
  <c r="I108"/>
  <c r="I103" s="1"/>
  <c r="F7"/>
  <c r="J7"/>
  <c r="K33"/>
  <c r="J59"/>
  <c r="K100"/>
  <c r="G129" i="21" l="1"/>
  <c r="G24" i="20"/>
  <c r="E128"/>
  <c r="G78"/>
  <c r="G77" s="1"/>
  <c r="G59" s="1"/>
  <c r="F59"/>
  <c r="F58" s="1"/>
  <c r="G58" s="1"/>
  <c r="K7"/>
  <c r="J103"/>
  <c r="K103" s="1"/>
  <c r="K108"/>
  <c r="K59"/>
  <c r="J58"/>
  <c r="J128" s="1"/>
  <c r="F128" l="1"/>
  <c r="G128" s="1"/>
  <c r="K58"/>
  <c r="I128"/>
  <c r="K128" l="1"/>
  <c r="H126" i="19" l="1"/>
  <c r="I116"/>
  <c r="I117"/>
  <c r="I115"/>
  <c r="I114"/>
  <c r="I113"/>
  <c r="H110"/>
  <c r="H109"/>
  <c r="H111"/>
  <c r="J110"/>
  <c r="I109"/>
  <c r="I110"/>
  <c r="I111"/>
  <c r="J105"/>
  <c r="H107"/>
  <c r="H105"/>
  <c r="H106"/>
  <c r="G106"/>
  <c r="G105"/>
  <c r="H130" l="1"/>
  <c r="J101"/>
  <c r="J100"/>
  <c r="J99" s="1"/>
  <c r="J95"/>
  <c r="J91"/>
  <c r="J87"/>
  <c r="J83"/>
  <c r="J79"/>
  <c r="J78" s="1"/>
  <c r="J74"/>
  <c r="J71" s="1"/>
  <c r="J69"/>
  <c r="J67"/>
  <c r="J65"/>
  <c r="J63"/>
  <c r="J60" s="1"/>
  <c r="J119"/>
  <c r="I126"/>
  <c r="H132" l="1"/>
  <c r="H125"/>
  <c r="H132" i="17"/>
  <c r="I133" i="19"/>
  <c r="D118"/>
  <c r="J125"/>
  <c r="I125"/>
  <c r="F125"/>
  <c r="E125"/>
  <c r="K123"/>
  <c r="G123"/>
  <c r="K122"/>
  <c r="G122"/>
  <c r="K121"/>
  <c r="G121"/>
  <c r="K120"/>
  <c r="G120"/>
  <c r="I119"/>
  <c r="K119" s="1"/>
  <c r="G119"/>
  <c r="J118"/>
  <c r="H118"/>
  <c r="F118"/>
  <c r="E118"/>
  <c r="J117"/>
  <c r="K117" s="1"/>
  <c r="G117"/>
  <c r="J116"/>
  <c r="K116" s="1"/>
  <c r="G116"/>
  <c r="J115"/>
  <c r="K115" s="1"/>
  <c r="G115"/>
  <c r="J114"/>
  <c r="K114" s="1"/>
  <c r="G114"/>
  <c r="J113"/>
  <c r="K113" s="1"/>
  <c r="G113"/>
  <c r="I112"/>
  <c r="H112"/>
  <c r="F112"/>
  <c r="E112"/>
  <c r="D112"/>
  <c r="D58" s="1"/>
  <c r="J111"/>
  <c r="K111" s="1"/>
  <c r="G111"/>
  <c r="K110"/>
  <c r="G110"/>
  <c r="J109"/>
  <c r="K109" s="1"/>
  <c r="I108"/>
  <c r="H108"/>
  <c r="K107"/>
  <c r="K105"/>
  <c r="I104"/>
  <c r="H104"/>
  <c r="H103" s="1"/>
  <c r="K102"/>
  <c r="I101"/>
  <c r="K101" s="1"/>
  <c r="H101"/>
  <c r="I100"/>
  <c r="I99" s="1"/>
  <c r="G100"/>
  <c r="H99"/>
  <c r="K98"/>
  <c r="K97"/>
  <c r="G97"/>
  <c r="K96"/>
  <c r="I95"/>
  <c r="H95"/>
  <c r="G95"/>
  <c r="K94"/>
  <c r="G94"/>
  <c r="K93"/>
  <c r="K92"/>
  <c r="K91"/>
  <c r="I91"/>
  <c r="H91"/>
  <c r="K90"/>
  <c r="K89"/>
  <c r="K88"/>
  <c r="I87"/>
  <c r="H87"/>
  <c r="K86"/>
  <c r="K85"/>
  <c r="K84"/>
  <c r="I83"/>
  <c r="K83" s="1"/>
  <c r="H83"/>
  <c r="G83"/>
  <c r="K82"/>
  <c r="K81"/>
  <c r="K80"/>
  <c r="G80"/>
  <c r="I79"/>
  <c r="H79"/>
  <c r="H78" s="1"/>
  <c r="K77"/>
  <c r="K76"/>
  <c r="G76"/>
  <c r="K75"/>
  <c r="I74"/>
  <c r="K74" s="1"/>
  <c r="K73"/>
  <c r="G73"/>
  <c r="K72"/>
  <c r="H71"/>
  <c r="K70"/>
  <c r="G70"/>
  <c r="I69"/>
  <c r="H69"/>
  <c r="H65" s="1"/>
  <c r="K68"/>
  <c r="I67"/>
  <c r="K67" s="1"/>
  <c r="K66"/>
  <c r="K64"/>
  <c r="I63"/>
  <c r="I60" s="1"/>
  <c r="K62"/>
  <c r="K61"/>
  <c r="H60"/>
  <c r="J133"/>
  <c r="H57"/>
  <c r="K56"/>
  <c r="G56"/>
  <c r="J55"/>
  <c r="I55"/>
  <c r="H55"/>
  <c r="F55"/>
  <c r="E55"/>
  <c r="D55"/>
  <c r="J54"/>
  <c r="K54" s="1"/>
  <c r="I54"/>
  <c r="E54"/>
  <c r="D54"/>
  <c r="H53"/>
  <c r="K52"/>
  <c r="G52"/>
  <c r="K51"/>
  <c r="G51"/>
  <c r="K50"/>
  <c r="G50"/>
  <c r="K49"/>
  <c r="G49"/>
  <c r="K48"/>
  <c r="G48"/>
  <c r="K47"/>
  <c r="G47"/>
  <c r="K46"/>
  <c r="G46"/>
  <c r="K45"/>
  <c r="F45"/>
  <c r="G45" s="1"/>
  <c r="E45"/>
  <c r="K44"/>
  <c r="F44"/>
  <c r="E44"/>
  <c r="E42" s="1"/>
  <c r="K43"/>
  <c r="F43"/>
  <c r="E43"/>
  <c r="J42"/>
  <c r="K42" s="1"/>
  <c r="I42"/>
  <c r="H42"/>
  <c r="D42"/>
  <c r="K41"/>
  <c r="G41"/>
  <c r="K40"/>
  <c r="G40"/>
  <c r="K39"/>
  <c r="F39"/>
  <c r="E39"/>
  <c r="K38"/>
  <c r="F38"/>
  <c r="E38"/>
  <c r="K37"/>
  <c r="F37"/>
  <c r="E37"/>
  <c r="K36"/>
  <c r="F36"/>
  <c r="E36"/>
  <c r="K35"/>
  <c r="F35"/>
  <c r="E35"/>
  <c r="K34"/>
  <c r="F34"/>
  <c r="E34"/>
  <c r="J33"/>
  <c r="J32" s="1"/>
  <c r="I33"/>
  <c r="I32" s="1"/>
  <c r="H33"/>
  <c r="H32" s="1"/>
  <c r="D33"/>
  <c r="D32" s="1"/>
  <c r="K31"/>
  <c r="G31"/>
  <c r="K30"/>
  <c r="G30"/>
  <c r="K29"/>
  <c r="G29"/>
  <c r="K28"/>
  <c r="G28"/>
  <c r="K27"/>
  <c r="G27"/>
  <c r="J26"/>
  <c r="J25" s="1"/>
  <c r="I26"/>
  <c r="I25" s="1"/>
  <c r="H26"/>
  <c r="H25" s="1"/>
  <c r="H24" s="1"/>
  <c r="F26"/>
  <c r="E26"/>
  <c r="E25" s="1"/>
  <c r="D26"/>
  <c r="D25" s="1"/>
  <c r="F25"/>
  <c r="I23"/>
  <c r="H23"/>
  <c r="J22"/>
  <c r="I22"/>
  <c r="K22" s="1"/>
  <c r="H22"/>
  <c r="G22"/>
  <c r="J21"/>
  <c r="I21"/>
  <c r="G21"/>
  <c r="J20"/>
  <c r="K20" s="1"/>
  <c r="I20"/>
  <c r="G20"/>
  <c r="J19"/>
  <c r="I19"/>
  <c r="G19"/>
  <c r="J18"/>
  <c r="I18"/>
  <c r="G18"/>
  <c r="L17"/>
  <c r="F17"/>
  <c r="E17"/>
  <c r="D17"/>
  <c r="I16"/>
  <c r="K16" s="1"/>
  <c r="H16"/>
  <c r="K15"/>
  <c r="G15"/>
  <c r="K14"/>
  <c r="G14"/>
  <c r="K13"/>
  <c r="G13"/>
  <c r="K12"/>
  <c r="G12"/>
  <c r="K11"/>
  <c r="G11"/>
  <c r="K10"/>
  <c r="G10"/>
  <c r="J9"/>
  <c r="I9"/>
  <c r="I8" s="1"/>
  <c r="H9"/>
  <c r="F9"/>
  <c r="E9"/>
  <c r="E8" s="1"/>
  <c r="E7" s="1"/>
  <c r="D9"/>
  <c r="D8" s="1"/>
  <c r="D7" s="1"/>
  <c r="C7"/>
  <c r="H17" l="1"/>
  <c r="G55"/>
  <c r="L61"/>
  <c r="H59"/>
  <c r="H58" s="1"/>
  <c r="G67"/>
  <c r="G25"/>
  <c r="G86"/>
  <c r="G87"/>
  <c r="K21"/>
  <c r="G37"/>
  <c r="G66"/>
  <c r="G74"/>
  <c r="K87"/>
  <c r="K18"/>
  <c r="D24"/>
  <c r="G63"/>
  <c r="G64"/>
  <c r="G71"/>
  <c r="I103"/>
  <c r="G118"/>
  <c r="G9"/>
  <c r="G17"/>
  <c r="I17"/>
  <c r="M17" s="1"/>
  <c r="N17" s="1"/>
  <c r="K19"/>
  <c r="K33"/>
  <c r="E33"/>
  <c r="G36"/>
  <c r="G44"/>
  <c r="G60"/>
  <c r="G85"/>
  <c r="G91"/>
  <c r="G93"/>
  <c r="G96"/>
  <c r="G101"/>
  <c r="G107"/>
  <c r="G108"/>
  <c r="G109"/>
  <c r="I7"/>
  <c r="H8"/>
  <c r="H7" s="1"/>
  <c r="K32"/>
  <c r="F58"/>
  <c r="K9"/>
  <c r="J17"/>
  <c r="G34"/>
  <c r="G38"/>
  <c r="F54"/>
  <c r="G54" s="1"/>
  <c r="K55"/>
  <c r="G68"/>
  <c r="G79"/>
  <c r="I24"/>
  <c r="G35"/>
  <c r="G39"/>
  <c r="G43"/>
  <c r="H54"/>
  <c r="K79"/>
  <c r="G112"/>
  <c r="I65"/>
  <c r="F8"/>
  <c r="G26"/>
  <c r="G61"/>
  <c r="K63"/>
  <c r="G69"/>
  <c r="G82"/>
  <c r="G88"/>
  <c r="I78"/>
  <c r="K95"/>
  <c r="G98"/>
  <c r="G104"/>
  <c r="I118"/>
  <c r="K118" s="1"/>
  <c r="K25"/>
  <c r="J8"/>
  <c r="K26"/>
  <c r="F33"/>
  <c r="F32" s="1"/>
  <c r="F42"/>
  <c r="G42" s="1"/>
  <c r="G62"/>
  <c r="G65"/>
  <c r="K69"/>
  <c r="G84"/>
  <c r="G89"/>
  <c r="G92"/>
  <c r="K100"/>
  <c r="G102"/>
  <c r="G103"/>
  <c r="J104"/>
  <c r="K104" s="1"/>
  <c r="J108"/>
  <c r="I71"/>
  <c r="K71" s="1"/>
  <c r="J112"/>
  <c r="K112" s="1"/>
  <c r="E32" l="1"/>
  <c r="E24" s="1"/>
  <c r="L118"/>
  <c r="H129"/>
  <c r="H131"/>
  <c r="H128"/>
  <c r="H142" s="1"/>
  <c r="D128"/>
  <c r="I59"/>
  <c r="I58" s="1"/>
  <c r="J24"/>
  <c r="K24" s="1"/>
  <c r="G78"/>
  <c r="G77" s="1"/>
  <c r="G59" s="1"/>
  <c r="K17"/>
  <c r="E58"/>
  <c r="L58" s="1"/>
  <c r="K65"/>
  <c r="G8"/>
  <c r="G7" s="1"/>
  <c r="F7"/>
  <c r="G33"/>
  <c r="K78"/>
  <c r="K8"/>
  <c r="J7"/>
  <c r="K7" s="1"/>
  <c r="J59"/>
  <c r="K60"/>
  <c r="J103"/>
  <c r="K103" s="1"/>
  <c r="K108"/>
  <c r="I131" l="1"/>
  <c r="I129"/>
  <c r="L59"/>
  <c r="J58"/>
  <c r="E128"/>
  <c r="I128"/>
  <c r="I142" s="1"/>
  <c r="G58"/>
  <c r="F24"/>
  <c r="G24" s="1"/>
  <c r="G32"/>
  <c r="K59"/>
  <c r="J129" l="1"/>
  <c r="J131"/>
  <c r="F128"/>
  <c r="G128" s="1"/>
  <c r="K58"/>
  <c r="J128"/>
  <c r="K128" l="1"/>
  <c r="J142"/>
  <c r="J143" i="17"/>
  <c r="I143"/>
  <c r="H142"/>
  <c r="H136"/>
  <c r="I136"/>
  <c r="H53" l="1"/>
  <c r="H42" l="1"/>
  <c r="H23"/>
  <c r="H16"/>
  <c r="H22"/>
  <c r="H17" s="1"/>
  <c r="H57"/>
  <c r="J22"/>
  <c r="J21"/>
  <c r="J20"/>
  <c r="J19"/>
  <c r="J18"/>
  <c r="I16"/>
  <c r="I23"/>
  <c r="I22"/>
  <c r="I21"/>
  <c r="I20"/>
  <c r="I19"/>
  <c r="I18"/>
  <c r="K52" l="1"/>
  <c r="G52"/>
  <c r="K51"/>
  <c r="G51"/>
  <c r="K50"/>
  <c r="G50"/>
  <c r="K49"/>
  <c r="G49"/>
  <c r="K48"/>
  <c r="G48"/>
  <c r="K47"/>
  <c r="G47"/>
  <c r="K46"/>
  <c r="G46"/>
  <c r="K45"/>
  <c r="F45"/>
  <c r="E45"/>
  <c r="K44"/>
  <c r="F44"/>
  <c r="E44"/>
  <c r="K43"/>
  <c r="F43"/>
  <c r="E43"/>
  <c r="E42" s="1"/>
  <c r="J42"/>
  <c r="I42"/>
  <c r="D42"/>
  <c r="K41"/>
  <c r="G41"/>
  <c r="K40"/>
  <c r="G40"/>
  <c r="K39"/>
  <c r="F39"/>
  <c r="E39"/>
  <c r="K38"/>
  <c r="F38"/>
  <c r="E38"/>
  <c r="K37"/>
  <c r="F37"/>
  <c r="E37"/>
  <c r="K36"/>
  <c r="F36"/>
  <c r="E36"/>
  <c r="K35"/>
  <c r="F35"/>
  <c r="E35"/>
  <c r="K34"/>
  <c r="F34"/>
  <c r="E34"/>
  <c r="J33"/>
  <c r="I33"/>
  <c r="H33"/>
  <c r="D33"/>
  <c r="K31"/>
  <c r="G31"/>
  <c r="K30"/>
  <c r="G30"/>
  <c r="K29"/>
  <c r="G29"/>
  <c r="K28"/>
  <c r="G28"/>
  <c r="K27"/>
  <c r="G27"/>
  <c r="J26"/>
  <c r="J25" s="1"/>
  <c r="I26"/>
  <c r="I25" s="1"/>
  <c r="H26"/>
  <c r="H25" s="1"/>
  <c r="F26"/>
  <c r="E26"/>
  <c r="E25" s="1"/>
  <c r="D26"/>
  <c r="D25" s="1"/>
  <c r="G26" l="1"/>
  <c r="K33"/>
  <c r="J32"/>
  <c r="F25"/>
  <c r="G25" s="1"/>
  <c r="H32"/>
  <c r="F33"/>
  <c r="D32"/>
  <c r="F42"/>
  <c r="G42" s="1"/>
  <c r="G37"/>
  <c r="K42"/>
  <c r="K25"/>
  <c r="E33"/>
  <c r="E32" s="1"/>
  <c r="G38"/>
  <c r="I32"/>
  <c r="G35"/>
  <c r="G39"/>
  <c r="G44"/>
  <c r="K26"/>
  <c r="G36"/>
  <c r="G45"/>
  <c r="G34"/>
  <c r="G43"/>
  <c r="K32" l="1"/>
  <c r="G33"/>
  <c r="F32"/>
  <c r="G32" s="1"/>
  <c r="L17"/>
  <c r="E17"/>
  <c r="F17"/>
  <c r="D17"/>
  <c r="E15" i="16"/>
  <c r="F22"/>
  <c r="E22"/>
  <c r="K56" i="17"/>
  <c r="G56"/>
  <c r="J55"/>
  <c r="I55"/>
  <c r="H55"/>
  <c r="H54" s="1"/>
  <c r="F55"/>
  <c r="E55"/>
  <c r="D55"/>
  <c r="E9" i="16"/>
  <c r="F9"/>
  <c r="E10"/>
  <c r="F10"/>
  <c r="E11"/>
  <c r="F11"/>
  <c r="E12"/>
  <c r="F12"/>
  <c r="E13"/>
  <c r="F13"/>
  <c r="F8"/>
  <c r="E8"/>
  <c r="K15" i="17"/>
  <c r="G15"/>
  <c r="K14"/>
  <c r="G14"/>
  <c r="K13"/>
  <c r="G13"/>
  <c r="K12"/>
  <c r="G12"/>
  <c r="K11"/>
  <c r="G11"/>
  <c r="K10"/>
  <c r="G10"/>
  <c r="J9"/>
  <c r="I9"/>
  <c r="I8" s="1"/>
  <c r="H9"/>
  <c r="H8" s="1"/>
  <c r="F9"/>
  <c r="E9"/>
  <c r="D9"/>
  <c r="K106"/>
  <c r="K99"/>
  <c r="K100"/>
  <c r="C7"/>
  <c r="H7" l="1"/>
  <c r="G9"/>
  <c r="D8"/>
  <c r="J8"/>
  <c r="K8" s="1"/>
  <c r="F8"/>
  <c r="K55"/>
  <c r="K9"/>
  <c r="G55"/>
  <c r="I17"/>
  <c r="M17" s="1"/>
  <c r="N17" s="1"/>
  <c r="E8"/>
  <c r="J17"/>
  <c r="E7" i="16"/>
  <c r="D101" i="17"/>
  <c r="D99"/>
  <c r="D78"/>
  <c r="I71"/>
  <c r="J71"/>
  <c r="H71"/>
  <c r="D71"/>
  <c r="I65"/>
  <c r="J65"/>
  <c r="H65"/>
  <c r="D65"/>
  <c r="I60"/>
  <c r="J60"/>
  <c r="H60"/>
  <c r="D60"/>
  <c r="I108"/>
  <c r="J108"/>
  <c r="I104"/>
  <c r="J104"/>
  <c r="H108"/>
  <c r="H104"/>
  <c r="D108"/>
  <c r="D104"/>
  <c r="J118"/>
  <c r="I118"/>
  <c r="H118"/>
  <c r="D118"/>
  <c r="F118"/>
  <c r="E118"/>
  <c r="J112"/>
  <c r="I112"/>
  <c r="H112"/>
  <c r="D112"/>
  <c r="F112"/>
  <c r="E112"/>
  <c r="K111"/>
  <c r="K113"/>
  <c r="K114"/>
  <c r="K115"/>
  <c r="K116"/>
  <c r="K117"/>
  <c r="K119"/>
  <c r="K120"/>
  <c r="K121"/>
  <c r="K122"/>
  <c r="K123"/>
  <c r="G113"/>
  <c r="G114"/>
  <c r="G115"/>
  <c r="G116"/>
  <c r="G117"/>
  <c r="G119"/>
  <c r="G120"/>
  <c r="G121"/>
  <c r="G122"/>
  <c r="G123"/>
  <c r="J24"/>
  <c r="I24"/>
  <c r="H24"/>
  <c r="D24"/>
  <c r="K21"/>
  <c r="K22"/>
  <c r="G21"/>
  <c r="G22"/>
  <c r="D10" i="18"/>
  <c r="E10"/>
  <c r="F10"/>
  <c r="G10" s="1"/>
  <c r="H10"/>
  <c r="G11"/>
  <c r="I11"/>
  <c r="I10" s="1"/>
  <c r="J11"/>
  <c r="K11" s="1"/>
  <c r="D12"/>
  <c r="E12"/>
  <c r="F12"/>
  <c r="G12" s="1"/>
  <c r="H12"/>
  <c r="G13"/>
  <c r="I13"/>
  <c r="J13"/>
  <c r="K13" s="1"/>
  <c r="G14"/>
  <c r="I14"/>
  <c r="J14"/>
  <c r="K14" s="1"/>
  <c r="G15"/>
  <c r="I15"/>
  <c r="J15"/>
  <c r="K15" s="1"/>
  <c r="G16"/>
  <c r="I16"/>
  <c r="J16"/>
  <c r="K16" s="1"/>
  <c r="G17"/>
  <c r="I17"/>
  <c r="J17"/>
  <c r="K17" s="1"/>
  <c r="G18"/>
  <c r="I18"/>
  <c r="J18"/>
  <c r="K18" s="1"/>
  <c r="J119"/>
  <c r="I118"/>
  <c r="H118"/>
  <c r="K117"/>
  <c r="F117"/>
  <c r="G117" s="1"/>
  <c r="E117"/>
  <c r="D117"/>
  <c r="J116"/>
  <c r="I116"/>
  <c r="H116"/>
  <c r="F116"/>
  <c r="E116"/>
  <c r="D116"/>
  <c r="K115"/>
  <c r="G115"/>
  <c r="K114"/>
  <c r="G114"/>
  <c r="K113"/>
  <c r="G113"/>
  <c r="K112"/>
  <c r="G112"/>
  <c r="K111"/>
  <c r="G111"/>
  <c r="K110"/>
  <c r="J109"/>
  <c r="I109"/>
  <c r="K109" s="1"/>
  <c r="H109"/>
  <c r="F109"/>
  <c r="E109"/>
  <c r="G109" s="1"/>
  <c r="D109"/>
  <c r="K108"/>
  <c r="G108"/>
  <c r="K107"/>
  <c r="G107"/>
  <c r="K106"/>
  <c r="G106"/>
  <c r="K105"/>
  <c r="G105"/>
  <c r="J104"/>
  <c r="I104"/>
  <c r="K104" s="1"/>
  <c r="H104"/>
  <c r="F104"/>
  <c r="E104"/>
  <c r="D104"/>
  <c r="K103"/>
  <c r="G103"/>
  <c r="K101"/>
  <c r="G101"/>
  <c r="K100"/>
  <c r="G100"/>
  <c r="J99"/>
  <c r="K99" s="1"/>
  <c r="I99"/>
  <c r="H99"/>
  <c r="F99"/>
  <c r="E99"/>
  <c r="D99"/>
  <c r="J98"/>
  <c r="K98" s="1"/>
  <c r="G98"/>
  <c r="J97"/>
  <c r="G97"/>
  <c r="J96"/>
  <c r="K96" s="1"/>
  <c r="G96"/>
  <c r="I95"/>
  <c r="H95"/>
  <c r="H94" s="1"/>
  <c r="F95"/>
  <c r="G95" s="1"/>
  <c r="E95"/>
  <c r="D95"/>
  <c r="D94"/>
  <c r="K92"/>
  <c r="K91"/>
  <c r="F91"/>
  <c r="G91" s="1"/>
  <c r="I90"/>
  <c r="K90" s="1"/>
  <c r="H90"/>
  <c r="E90"/>
  <c r="D90"/>
  <c r="K89"/>
  <c r="F89"/>
  <c r="G89" s="1"/>
  <c r="J88"/>
  <c r="K88" s="1"/>
  <c r="I88"/>
  <c r="H88"/>
  <c r="F88"/>
  <c r="E88"/>
  <c r="D88"/>
  <c r="K85"/>
  <c r="G85"/>
  <c r="J84"/>
  <c r="K84" s="1"/>
  <c r="I84"/>
  <c r="H84"/>
  <c r="F84"/>
  <c r="G84" s="1"/>
  <c r="E84"/>
  <c r="D84"/>
  <c r="I83"/>
  <c r="I80" s="1"/>
  <c r="H83"/>
  <c r="F83"/>
  <c r="E83"/>
  <c r="G83" s="1"/>
  <c r="D83"/>
  <c r="K82"/>
  <c r="H82"/>
  <c r="F82"/>
  <c r="E82"/>
  <c r="D82"/>
  <c r="K81"/>
  <c r="F81"/>
  <c r="F80" s="1"/>
  <c r="J80"/>
  <c r="H80"/>
  <c r="D80"/>
  <c r="K79"/>
  <c r="G79"/>
  <c r="K78"/>
  <c r="G78"/>
  <c r="K77"/>
  <c r="I76"/>
  <c r="K76" s="1"/>
  <c r="H76"/>
  <c r="F76"/>
  <c r="G76" s="1"/>
  <c r="E76"/>
  <c r="D76"/>
  <c r="K75"/>
  <c r="G75"/>
  <c r="K74"/>
  <c r="G74"/>
  <c r="K73"/>
  <c r="G73"/>
  <c r="J72"/>
  <c r="I72"/>
  <c r="H72"/>
  <c r="F72"/>
  <c r="G72" s="1"/>
  <c r="E72"/>
  <c r="D72"/>
  <c r="J71"/>
  <c r="K70"/>
  <c r="G70"/>
  <c r="K69"/>
  <c r="G69"/>
  <c r="K67"/>
  <c r="G67"/>
  <c r="K66"/>
  <c r="G66"/>
  <c r="K65"/>
  <c r="G65"/>
  <c r="G64" s="1"/>
  <c r="J64"/>
  <c r="K64" s="1"/>
  <c r="I64"/>
  <c r="H64"/>
  <c r="F64"/>
  <c r="E64"/>
  <c r="D64"/>
  <c r="K63"/>
  <c r="G63"/>
  <c r="K61"/>
  <c r="G61"/>
  <c r="K60"/>
  <c r="G60"/>
  <c r="K58"/>
  <c r="G58"/>
  <c r="K57"/>
  <c r="G57"/>
  <c r="K56"/>
  <c r="G56"/>
  <c r="K55"/>
  <c r="I55"/>
  <c r="G55"/>
  <c r="J54"/>
  <c r="K54" s="1"/>
  <c r="I54"/>
  <c r="H54"/>
  <c r="F54"/>
  <c r="G54" s="1"/>
  <c r="E54"/>
  <c r="D54"/>
  <c r="K53"/>
  <c r="G53"/>
  <c r="K51"/>
  <c r="G51"/>
  <c r="K50"/>
  <c r="G50"/>
  <c r="K49"/>
  <c r="G49"/>
  <c r="K48"/>
  <c r="H48"/>
  <c r="H47" s="1"/>
  <c r="F48"/>
  <c r="G48" s="1"/>
  <c r="J47"/>
  <c r="K47" s="1"/>
  <c r="I47"/>
  <c r="E47"/>
  <c r="D47"/>
  <c r="K44"/>
  <c r="G44"/>
  <c r="J43"/>
  <c r="K43" s="1"/>
  <c r="I43"/>
  <c r="H43"/>
  <c r="F43"/>
  <c r="E43"/>
  <c r="G43" s="1"/>
  <c r="D43"/>
  <c r="J42"/>
  <c r="H42"/>
  <c r="F42"/>
  <c r="E42"/>
  <c r="D42"/>
  <c r="K41"/>
  <c r="G41"/>
  <c r="J40"/>
  <c r="I40"/>
  <c r="K40" s="1"/>
  <c r="H40"/>
  <c r="F40"/>
  <c r="E40"/>
  <c r="G40" s="1"/>
  <c r="D40"/>
  <c r="J39"/>
  <c r="I39"/>
  <c r="K39" s="1"/>
  <c r="H39"/>
  <c r="F39"/>
  <c r="E39"/>
  <c r="G39" s="1"/>
  <c r="D39"/>
  <c r="K36"/>
  <c r="K35"/>
  <c r="K34"/>
  <c r="G34"/>
  <c r="D34"/>
  <c r="K33"/>
  <c r="G33"/>
  <c r="D33"/>
  <c r="K32"/>
  <c r="G32"/>
  <c r="K31"/>
  <c r="G31"/>
  <c r="K30"/>
  <c r="G30"/>
  <c r="D30"/>
  <c r="K29"/>
  <c r="G29"/>
  <c r="D29"/>
  <c r="K28"/>
  <c r="G28"/>
  <c r="D28"/>
  <c r="D26" s="1"/>
  <c r="D25" s="1"/>
  <c r="D24" s="1"/>
  <c r="K27"/>
  <c r="G27"/>
  <c r="J26"/>
  <c r="I26"/>
  <c r="I25" s="1"/>
  <c r="I24" s="1"/>
  <c r="H26"/>
  <c r="F26"/>
  <c r="G26" s="1"/>
  <c r="E26"/>
  <c r="J25"/>
  <c r="J24" s="1"/>
  <c r="K24" s="1"/>
  <c r="H25"/>
  <c r="H24" s="1"/>
  <c r="E25"/>
  <c r="E24" s="1"/>
  <c r="K23"/>
  <c r="G23"/>
  <c r="K22"/>
  <c r="H22"/>
  <c r="H19" s="1"/>
  <c r="G22"/>
  <c r="K21"/>
  <c r="G21"/>
  <c r="K20"/>
  <c r="G20"/>
  <c r="J19"/>
  <c r="K19" s="1"/>
  <c r="I19"/>
  <c r="F19"/>
  <c r="E19"/>
  <c r="G19" s="1"/>
  <c r="D19"/>
  <c r="H8"/>
  <c r="D8"/>
  <c r="D7" s="1"/>
  <c r="K110" i="17"/>
  <c r="K109"/>
  <c r="K105"/>
  <c r="K102"/>
  <c r="K98"/>
  <c r="K97"/>
  <c r="K96"/>
  <c r="K95"/>
  <c r="K94"/>
  <c r="K93"/>
  <c r="K92"/>
  <c r="K91"/>
  <c r="K90"/>
  <c r="K89"/>
  <c r="K88"/>
  <c r="K87"/>
  <c r="K86"/>
  <c r="K85"/>
  <c r="K83"/>
  <c r="K82"/>
  <c r="K80"/>
  <c r="K79"/>
  <c r="K78"/>
  <c r="K77"/>
  <c r="K76"/>
  <c r="K74"/>
  <c r="K73"/>
  <c r="K70"/>
  <c r="K69"/>
  <c r="K68"/>
  <c r="K67"/>
  <c r="K66"/>
  <c r="K64"/>
  <c r="K63"/>
  <c r="K62"/>
  <c r="K61"/>
  <c r="I54"/>
  <c r="E54"/>
  <c r="D54"/>
  <c r="K20"/>
  <c r="G20"/>
  <c r="K19"/>
  <c r="G19"/>
  <c r="K18"/>
  <c r="G18"/>
  <c r="F25" i="18" l="1"/>
  <c r="K26"/>
  <c r="G42"/>
  <c r="I42"/>
  <c r="K42" s="1"/>
  <c r="F47"/>
  <c r="G47" s="1"/>
  <c r="D71"/>
  <c r="H71"/>
  <c r="G82"/>
  <c r="K83"/>
  <c r="J95"/>
  <c r="F94"/>
  <c r="K116"/>
  <c r="I12"/>
  <c r="E8"/>
  <c r="E7" s="1"/>
  <c r="K25"/>
  <c r="H46"/>
  <c r="H45" s="1"/>
  <c r="J46"/>
  <c r="K72"/>
  <c r="G88"/>
  <c r="E94"/>
  <c r="G99"/>
  <c r="I94"/>
  <c r="G104"/>
  <c r="G116"/>
  <c r="J10"/>
  <c r="K10" s="1"/>
  <c r="K104" i="17"/>
  <c r="G118"/>
  <c r="H103"/>
  <c r="H58" s="1"/>
  <c r="H141" s="1"/>
  <c r="J103"/>
  <c r="K65"/>
  <c r="I7"/>
  <c r="G112"/>
  <c r="K112"/>
  <c r="I59"/>
  <c r="K71"/>
  <c r="G8"/>
  <c r="G7" s="1"/>
  <c r="D103"/>
  <c r="D58" s="1"/>
  <c r="K118"/>
  <c r="K60"/>
  <c r="J59"/>
  <c r="J58" s="1"/>
  <c r="J141" s="1"/>
  <c r="I103"/>
  <c r="E24"/>
  <c r="J54"/>
  <c r="K54" s="1"/>
  <c r="D7"/>
  <c r="G17"/>
  <c r="E7"/>
  <c r="K17"/>
  <c r="F54"/>
  <c r="G54" s="1"/>
  <c r="K101"/>
  <c r="K16"/>
  <c r="I8" i="18"/>
  <c r="I7" s="1"/>
  <c r="J12"/>
  <c r="K12" s="1"/>
  <c r="F8"/>
  <c r="G8" s="1"/>
  <c r="G7" s="1"/>
  <c r="H7"/>
  <c r="J94"/>
  <c r="K94" s="1"/>
  <c r="K95"/>
  <c r="F71"/>
  <c r="K80"/>
  <c r="I71"/>
  <c r="I46" s="1"/>
  <c r="I45" s="1"/>
  <c r="K71"/>
  <c r="I120"/>
  <c r="H120"/>
  <c r="D46"/>
  <c r="D45" s="1"/>
  <c r="D120" s="1"/>
  <c r="G94"/>
  <c r="F90"/>
  <c r="G90" s="1"/>
  <c r="E80"/>
  <c r="E71" s="1"/>
  <c r="E46" s="1"/>
  <c r="E45" s="1"/>
  <c r="E120" s="1"/>
  <c r="G81"/>
  <c r="K97"/>
  <c r="K84" i="17"/>
  <c r="K24"/>
  <c r="F46" i="18" l="1"/>
  <c r="F45" s="1"/>
  <c r="G45" s="1"/>
  <c r="F7"/>
  <c r="I58" i="17"/>
  <c r="I141" s="1"/>
  <c r="G25" i="18"/>
  <c r="F24"/>
  <c r="G24" s="1"/>
  <c r="D138" i="17"/>
  <c r="I138"/>
  <c r="K103"/>
  <c r="H138"/>
  <c r="K59"/>
  <c r="F7"/>
  <c r="J8" i="18"/>
  <c r="G80"/>
  <c r="G71" s="1"/>
  <c r="G46" s="1"/>
  <c r="F120"/>
  <c r="G120" s="1"/>
  <c r="J45"/>
  <c r="K46"/>
  <c r="K108" i="17"/>
  <c r="F24" l="1"/>
  <c r="G24" s="1"/>
  <c r="K8" i="18"/>
  <c r="K7" s="1"/>
  <c r="J7"/>
  <c r="K45"/>
  <c r="J120"/>
  <c r="K120" s="1"/>
  <c r="J7" i="17"/>
  <c r="K7" s="1"/>
  <c r="K107"/>
  <c r="K58" l="1"/>
  <c r="J138"/>
  <c r="K138" s="1"/>
  <c r="G471" i="16" l="1"/>
  <c r="G470"/>
  <c r="G469"/>
  <c r="G468"/>
  <c r="G467"/>
  <c r="F466"/>
  <c r="E466"/>
  <c r="G466" s="1"/>
  <c r="G465"/>
  <c r="G464"/>
  <c r="G463"/>
  <c r="G462"/>
  <c r="G461"/>
  <c r="G460"/>
  <c r="F459"/>
  <c r="E459"/>
  <c r="F458"/>
  <c r="F111" i="17" s="1"/>
  <c r="G111" s="1"/>
  <c r="E458" i="16"/>
  <c r="E111" i="17" s="1"/>
  <c r="F457" i="16"/>
  <c r="E457"/>
  <c r="F456"/>
  <c r="E456"/>
  <c r="E110" i="17" s="1"/>
  <c r="F455" i="16"/>
  <c r="F109" i="17" s="1"/>
  <c r="E455" i="16"/>
  <c r="E453"/>
  <c r="E107" i="17" s="1"/>
  <c r="F452" i="16"/>
  <c r="E452"/>
  <c r="E106" i="17" s="1"/>
  <c r="F451" i="16"/>
  <c r="F105" i="17" s="1"/>
  <c r="E451" i="16"/>
  <c r="G448"/>
  <c r="G446"/>
  <c r="G445"/>
  <c r="F444"/>
  <c r="G444" s="1"/>
  <c r="E444"/>
  <c r="G443"/>
  <c r="G442"/>
  <c r="G441"/>
  <c r="F440"/>
  <c r="E440"/>
  <c r="E439" s="1"/>
  <c r="G438"/>
  <c r="G436"/>
  <c r="G435"/>
  <c r="F434"/>
  <c r="G434" s="1"/>
  <c r="E434"/>
  <c r="G433"/>
  <c r="G432"/>
  <c r="G431"/>
  <c r="F430"/>
  <c r="E430"/>
  <c r="E429" s="1"/>
  <c r="G428"/>
  <c r="G426"/>
  <c r="G425"/>
  <c r="F424"/>
  <c r="G424" s="1"/>
  <c r="G423"/>
  <c r="G422"/>
  <c r="F421"/>
  <c r="E421"/>
  <c r="E420" s="1"/>
  <c r="G419"/>
  <c r="G417"/>
  <c r="G416"/>
  <c r="F415"/>
  <c r="F410" s="1"/>
  <c r="E415"/>
  <c r="G414"/>
  <c r="G413"/>
  <c r="G412"/>
  <c r="F411"/>
  <c r="E411"/>
  <c r="E410" s="1"/>
  <c r="G409"/>
  <c r="G407"/>
  <c r="G406"/>
  <c r="F405"/>
  <c r="G405" s="1"/>
  <c r="E405"/>
  <c r="G404"/>
  <c r="G403"/>
  <c r="G402"/>
  <c r="F401"/>
  <c r="G401" s="1"/>
  <c r="E401"/>
  <c r="G399"/>
  <c r="G397"/>
  <c r="G396"/>
  <c r="F395"/>
  <c r="E395"/>
  <c r="G395" s="1"/>
  <c r="G394"/>
  <c r="G393"/>
  <c r="G392"/>
  <c r="F391"/>
  <c r="E391"/>
  <c r="G391" s="1"/>
  <c r="F390"/>
  <c r="G389"/>
  <c r="G387"/>
  <c r="G386"/>
  <c r="F385"/>
  <c r="G385" s="1"/>
  <c r="E385"/>
  <c r="G384"/>
  <c r="G383"/>
  <c r="G382"/>
  <c r="F381"/>
  <c r="E381"/>
  <c r="E380" s="1"/>
  <c r="G379"/>
  <c r="G377"/>
  <c r="G376"/>
  <c r="F375"/>
  <c r="F370" s="1"/>
  <c r="E375"/>
  <c r="G374"/>
  <c r="G373"/>
  <c r="G372"/>
  <c r="F371"/>
  <c r="E371"/>
  <c r="E370" s="1"/>
  <c r="G369"/>
  <c r="G367"/>
  <c r="G366"/>
  <c r="F365"/>
  <c r="G365" s="1"/>
  <c r="E365"/>
  <c r="G364"/>
  <c r="G363"/>
  <c r="G362"/>
  <c r="F361"/>
  <c r="G361" s="1"/>
  <c r="E361"/>
  <c r="E359"/>
  <c r="E102" i="17" s="1"/>
  <c r="E358" i="16"/>
  <c r="E101" i="17" s="1"/>
  <c r="F357" i="16"/>
  <c r="F100" i="17" s="1"/>
  <c r="G100" s="1"/>
  <c r="E357" i="16"/>
  <c r="E100" i="17" s="1"/>
  <c r="F356" i="16"/>
  <c r="F99" i="17" s="1"/>
  <c r="E356" i="16"/>
  <c r="E99" i="17" s="1"/>
  <c r="F355" i="16"/>
  <c r="E355"/>
  <c r="E98" i="17" s="1"/>
  <c r="F354" i="16"/>
  <c r="E354"/>
  <c r="E97" i="17" s="1"/>
  <c r="F353" i="16"/>
  <c r="F96" i="17" s="1"/>
  <c r="E353" i="16"/>
  <c r="F351"/>
  <c r="E351"/>
  <c r="E94" i="17" s="1"/>
  <c r="F350" i="16"/>
  <c r="E350"/>
  <c r="E93" i="17" s="1"/>
  <c r="F349" i="16"/>
  <c r="F92" i="17" s="1"/>
  <c r="E349" i="16"/>
  <c r="F347"/>
  <c r="E347"/>
  <c r="E90" i="17" s="1"/>
  <c r="F346" i="16"/>
  <c r="E346"/>
  <c r="E89" i="17" s="1"/>
  <c r="F345" i="16"/>
  <c r="F88" i="17" s="1"/>
  <c r="E345" i="16"/>
  <c r="F343"/>
  <c r="E343"/>
  <c r="E86" i="17" s="1"/>
  <c r="F342" i="16"/>
  <c r="E342"/>
  <c r="E85" i="17" s="1"/>
  <c r="F341" i="16"/>
  <c r="F84" i="17" s="1"/>
  <c r="E341" i="16"/>
  <c r="F339"/>
  <c r="E339"/>
  <c r="E82" i="17" s="1"/>
  <c r="F338" i="16"/>
  <c r="E338"/>
  <c r="E81" i="17" s="1"/>
  <c r="F337" i="16"/>
  <c r="F80" i="17" s="1"/>
  <c r="E337" i="16"/>
  <c r="F334"/>
  <c r="E334"/>
  <c r="E77" i="17" s="1"/>
  <c r="F333" i="16"/>
  <c r="F76" i="17" s="1"/>
  <c r="G76" s="1"/>
  <c r="E333" i="16"/>
  <c r="E76" i="17" s="1"/>
  <c r="F332" i="16"/>
  <c r="F75" i="17" s="1"/>
  <c r="E332" i="16"/>
  <c r="E75" i="17" s="1"/>
  <c r="E331" i="16"/>
  <c r="E74" i="17" s="1"/>
  <c r="F330" i="16"/>
  <c r="E330"/>
  <c r="F329"/>
  <c r="E329"/>
  <c r="E72" i="17" s="1"/>
  <c r="F327" i="16"/>
  <c r="E327"/>
  <c r="E70" i="17" s="1"/>
  <c r="E326" i="16"/>
  <c r="E69" i="17" s="1"/>
  <c r="F325" i="16"/>
  <c r="F68" i="17" s="1"/>
  <c r="G68" s="1"/>
  <c r="E325" i="16"/>
  <c r="E68" i="17" s="1"/>
  <c r="F324" i="16"/>
  <c r="F67" i="17" s="1"/>
  <c r="E324" i="16"/>
  <c r="E67" i="17" s="1"/>
  <c r="F323" i="16"/>
  <c r="E323"/>
  <c r="E66" i="17" s="1"/>
  <c r="F321" i="16"/>
  <c r="F64" i="17" s="1"/>
  <c r="E321" i="16"/>
  <c r="E64" i="17" s="1"/>
  <c r="F320" i="16"/>
  <c r="F63" i="17" s="1"/>
  <c r="G63" s="1"/>
  <c r="E320" i="16"/>
  <c r="E63" i="17" s="1"/>
  <c r="F319" i="16"/>
  <c r="E319"/>
  <c r="E62" i="17" s="1"/>
  <c r="E318" i="16"/>
  <c r="G315"/>
  <c r="F314"/>
  <c r="G314" s="1"/>
  <c r="E314"/>
  <c r="G313"/>
  <c r="F312"/>
  <c r="E312"/>
  <c r="G311"/>
  <c r="G310"/>
  <c r="G309"/>
  <c r="F308"/>
  <c r="G308" s="1"/>
  <c r="E308"/>
  <c r="G307"/>
  <c r="G306"/>
  <c r="G305"/>
  <c r="F304"/>
  <c r="E304"/>
  <c r="G303"/>
  <c r="G302"/>
  <c r="G301"/>
  <c r="F300"/>
  <c r="G300" s="1"/>
  <c r="E300"/>
  <c r="G299"/>
  <c r="G298"/>
  <c r="G297"/>
  <c r="F296"/>
  <c r="E296"/>
  <c r="G295"/>
  <c r="G294"/>
  <c r="G293"/>
  <c r="F292"/>
  <c r="E292"/>
  <c r="G292" s="1"/>
  <c r="F291"/>
  <c r="G290"/>
  <c r="G289"/>
  <c r="G288"/>
  <c r="G287"/>
  <c r="G286"/>
  <c r="G285"/>
  <c r="F284"/>
  <c r="E284"/>
  <c r="G284" s="1"/>
  <c r="G283"/>
  <c r="G282"/>
  <c r="G281"/>
  <c r="G280"/>
  <c r="G279"/>
  <c r="F278"/>
  <c r="E278"/>
  <c r="G278" s="1"/>
  <c r="G277"/>
  <c r="G276"/>
  <c r="G275"/>
  <c r="G274"/>
  <c r="F273"/>
  <c r="E273"/>
  <c r="F272"/>
  <c r="G271"/>
  <c r="F270"/>
  <c r="G270" s="1"/>
  <c r="E270"/>
  <c r="G269"/>
  <c r="F268"/>
  <c r="G268" s="1"/>
  <c r="E268"/>
  <c r="G267"/>
  <c r="G266"/>
  <c r="G265"/>
  <c r="F264"/>
  <c r="E264"/>
  <c r="G263"/>
  <c r="G262"/>
  <c r="G261"/>
  <c r="F260"/>
  <c r="G260" s="1"/>
  <c r="E260"/>
  <c r="G259"/>
  <c r="G258"/>
  <c r="G257"/>
  <c r="F256"/>
  <c r="G256" s="1"/>
  <c r="E256"/>
  <c r="G255"/>
  <c r="G254"/>
  <c r="G253"/>
  <c r="F252"/>
  <c r="E252"/>
  <c r="G251"/>
  <c r="G250"/>
  <c r="G249"/>
  <c r="F248"/>
  <c r="E248"/>
  <c r="E247" s="1"/>
  <c r="G246"/>
  <c r="G245"/>
  <c r="G244"/>
  <c r="G243"/>
  <c r="G242"/>
  <c r="G241"/>
  <c r="F240"/>
  <c r="E240"/>
  <c r="G239"/>
  <c r="G238"/>
  <c r="G237"/>
  <c r="G236"/>
  <c r="G235"/>
  <c r="F234"/>
  <c r="G234" s="1"/>
  <c r="E234"/>
  <c r="G233"/>
  <c r="G232"/>
  <c r="G231"/>
  <c r="G230"/>
  <c r="F229"/>
  <c r="E229"/>
  <c r="G229" s="1"/>
  <c r="H228"/>
  <c r="D228"/>
  <c r="F227"/>
  <c r="F359" s="1"/>
  <c r="E226"/>
  <c r="G225"/>
  <c r="F224"/>
  <c r="G224" s="1"/>
  <c r="E224"/>
  <c r="G223"/>
  <c r="G222"/>
  <c r="G221"/>
  <c r="F220"/>
  <c r="G220" s="1"/>
  <c r="E220"/>
  <c r="G219"/>
  <c r="G218"/>
  <c r="G217"/>
  <c r="F216"/>
  <c r="E216"/>
  <c r="G215"/>
  <c r="G214"/>
  <c r="G213"/>
  <c r="F212"/>
  <c r="E212"/>
  <c r="G212" s="1"/>
  <c r="G211"/>
  <c r="G210"/>
  <c r="G209"/>
  <c r="F208"/>
  <c r="G208" s="1"/>
  <c r="E208"/>
  <c r="G207"/>
  <c r="G206"/>
  <c r="G205"/>
  <c r="F204"/>
  <c r="G204" s="1"/>
  <c r="E204"/>
  <c r="G201"/>
  <c r="G200"/>
  <c r="G199"/>
  <c r="G198"/>
  <c r="G197"/>
  <c r="F196"/>
  <c r="G196" s="1"/>
  <c r="E196"/>
  <c r="G195"/>
  <c r="G194"/>
  <c r="G193"/>
  <c r="G192"/>
  <c r="G191"/>
  <c r="F190"/>
  <c r="G190" s="1"/>
  <c r="E190"/>
  <c r="G189"/>
  <c r="G188"/>
  <c r="G187"/>
  <c r="G186"/>
  <c r="F185"/>
  <c r="G185" s="1"/>
  <c r="E185"/>
  <c r="G183"/>
  <c r="F182"/>
  <c r="G182" s="1"/>
  <c r="E182"/>
  <c r="G181"/>
  <c r="F180"/>
  <c r="G180" s="1"/>
  <c r="E180"/>
  <c r="G179"/>
  <c r="G178"/>
  <c r="G177"/>
  <c r="F176"/>
  <c r="E176"/>
  <c r="G175"/>
  <c r="G174"/>
  <c r="G173"/>
  <c r="F172"/>
  <c r="E172"/>
  <c r="G172" s="1"/>
  <c r="G171"/>
  <c r="G170"/>
  <c r="G169"/>
  <c r="F168"/>
  <c r="G168" s="1"/>
  <c r="E168"/>
  <c r="G167"/>
  <c r="G166"/>
  <c r="G165"/>
  <c r="F164"/>
  <c r="G164" s="1"/>
  <c r="E164"/>
  <c r="G163"/>
  <c r="G162"/>
  <c r="G161"/>
  <c r="F160"/>
  <c r="E160"/>
  <c r="E159" s="1"/>
  <c r="G157"/>
  <c r="G156"/>
  <c r="G155"/>
  <c r="G154"/>
  <c r="G153"/>
  <c r="F152"/>
  <c r="E152"/>
  <c r="G152" s="1"/>
  <c r="G151"/>
  <c r="G150"/>
  <c r="G149"/>
  <c r="G148"/>
  <c r="G147"/>
  <c r="F146"/>
  <c r="E146"/>
  <c r="G146" s="1"/>
  <c r="G145"/>
  <c r="G144"/>
  <c r="G143"/>
  <c r="G142"/>
  <c r="F141"/>
  <c r="G141" s="1"/>
  <c r="E141"/>
  <c r="G139"/>
  <c r="F138"/>
  <c r="G138" s="1"/>
  <c r="E138"/>
  <c r="G137"/>
  <c r="F136"/>
  <c r="G136" s="1"/>
  <c r="E136"/>
  <c r="G135"/>
  <c r="G134"/>
  <c r="G133"/>
  <c r="F132"/>
  <c r="E132"/>
  <c r="G131"/>
  <c r="G130"/>
  <c r="G129"/>
  <c r="F128"/>
  <c r="E128"/>
  <c r="G128" s="1"/>
  <c r="G127"/>
  <c r="G126"/>
  <c r="G125"/>
  <c r="F124"/>
  <c r="G124" s="1"/>
  <c r="E124"/>
  <c r="G123"/>
  <c r="G122"/>
  <c r="G121"/>
  <c r="F120"/>
  <c r="G120" s="1"/>
  <c r="E120"/>
  <c r="G119"/>
  <c r="G118"/>
  <c r="G117"/>
  <c r="F116"/>
  <c r="E116"/>
  <c r="E115" s="1"/>
  <c r="E96" s="1"/>
  <c r="G114"/>
  <c r="G113"/>
  <c r="G112"/>
  <c r="G111"/>
  <c r="G110"/>
  <c r="G109"/>
  <c r="F108"/>
  <c r="G108" s="1"/>
  <c r="E108"/>
  <c r="G107"/>
  <c r="G106"/>
  <c r="G105"/>
  <c r="G104"/>
  <c r="G103"/>
  <c r="F102"/>
  <c r="E102"/>
  <c r="G101"/>
  <c r="G100"/>
  <c r="G99"/>
  <c r="G98"/>
  <c r="F98"/>
  <c r="F318" s="1"/>
  <c r="F61" i="17" s="1"/>
  <c r="F97" i="16"/>
  <c r="G97" s="1"/>
  <c r="E97"/>
  <c r="G95"/>
  <c r="F94"/>
  <c r="G94" s="1"/>
  <c r="E94"/>
  <c r="G93"/>
  <c r="F92"/>
  <c r="G92" s="1"/>
  <c r="E92"/>
  <c r="G91"/>
  <c r="G90"/>
  <c r="G89"/>
  <c r="F88"/>
  <c r="E88"/>
  <c r="G87"/>
  <c r="G86"/>
  <c r="G85"/>
  <c r="F84"/>
  <c r="E84"/>
  <c r="G84" s="1"/>
  <c r="G83"/>
  <c r="G82"/>
  <c r="G81"/>
  <c r="F80"/>
  <c r="G80" s="1"/>
  <c r="E80"/>
  <c r="G79"/>
  <c r="G78"/>
  <c r="G77"/>
  <c r="F76"/>
  <c r="G76" s="1"/>
  <c r="E76"/>
  <c r="G75"/>
  <c r="G74"/>
  <c r="G73"/>
  <c r="F72"/>
  <c r="E72"/>
  <c r="E71" s="1"/>
  <c r="G70"/>
  <c r="C70"/>
  <c r="G69"/>
  <c r="G68"/>
  <c r="F67"/>
  <c r="F331" s="1"/>
  <c r="G66"/>
  <c r="G65"/>
  <c r="F64"/>
  <c r="G64" s="1"/>
  <c r="E64"/>
  <c r="G63"/>
  <c r="F62"/>
  <c r="F326" s="1"/>
  <c r="G61"/>
  <c r="G60"/>
  <c r="G59"/>
  <c r="E58"/>
  <c r="G57"/>
  <c r="G56"/>
  <c r="G55"/>
  <c r="G54"/>
  <c r="F53"/>
  <c r="G53" s="1"/>
  <c r="E53"/>
  <c r="G331" l="1"/>
  <c r="F74" i="17"/>
  <c r="G74" s="1"/>
  <c r="G359" i="16"/>
  <c r="F102" i="17"/>
  <c r="G102" s="1"/>
  <c r="E52" i="16"/>
  <c r="E140"/>
  <c r="F247"/>
  <c r="E291"/>
  <c r="E272" s="1"/>
  <c r="G304"/>
  <c r="E317"/>
  <c r="E61" i="17"/>
  <c r="G319" i="16"/>
  <c r="F62" i="17"/>
  <c r="G62" s="1"/>
  <c r="G321" i="16"/>
  <c r="G324"/>
  <c r="G327"/>
  <c r="F70" i="17"/>
  <c r="G70" s="1"/>
  <c r="F328" i="16"/>
  <c r="F71" i="17" s="1"/>
  <c r="F72"/>
  <c r="E328" i="16"/>
  <c r="E71" i="17" s="1"/>
  <c r="E73"/>
  <c r="G332" i="16"/>
  <c r="E336"/>
  <c r="E79" i="17" s="1"/>
  <c r="E80"/>
  <c r="G337" i="16"/>
  <c r="G338"/>
  <c r="F81" i="17"/>
  <c r="G339" i="16"/>
  <c r="F82" i="17"/>
  <c r="G82" s="1"/>
  <c r="E344" i="16"/>
  <c r="E87" i="17" s="1"/>
  <c r="E88"/>
  <c r="G345" i="16"/>
  <c r="G346"/>
  <c r="F89" i="17"/>
  <c r="G89" s="1"/>
  <c r="G347" i="16"/>
  <c r="F90" i="17"/>
  <c r="E352" i="16"/>
  <c r="E95" i="17" s="1"/>
  <c r="E96"/>
  <c r="G353" i="16"/>
  <c r="G354"/>
  <c r="F97" i="17"/>
  <c r="G97" s="1"/>
  <c r="G355" i="16"/>
  <c r="F98" i="17"/>
  <c r="G98" s="1"/>
  <c r="G99"/>
  <c r="G357" i="16"/>
  <c r="E360"/>
  <c r="G375"/>
  <c r="G381"/>
  <c r="E400"/>
  <c r="G415"/>
  <c r="G421"/>
  <c r="G430"/>
  <c r="G440"/>
  <c r="E450"/>
  <c r="E104" i="17" s="1"/>
  <c r="E105"/>
  <c r="G451" i="16"/>
  <c r="G452"/>
  <c r="F106" i="17"/>
  <c r="G106" s="1"/>
  <c r="E454" i="16"/>
  <c r="E108" i="17" s="1"/>
  <c r="E109"/>
  <c r="G455" i="16"/>
  <c r="G456"/>
  <c r="F110" i="17"/>
  <c r="G110" s="1"/>
  <c r="F454" i="16"/>
  <c r="F108" i="17" s="1"/>
  <c r="G326" i="16"/>
  <c r="F69" i="17"/>
  <c r="G69" s="1"/>
  <c r="G62" i="16"/>
  <c r="G67"/>
  <c r="G72"/>
  <c r="G88"/>
  <c r="G61" i="17"/>
  <c r="G102" i="16"/>
  <c r="G116"/>
  <c r="G132"/>
  <c r="G160"/>
  <c r="G176"/>
  <c r="E203"/>
  <c r="E184" s="1"/>
  <c r="G216"/>
  <c r="F226"/>
  <c r="G226" s="1"/>
  <c r="G227"/>
  <c r="E228"/>
  <c r="G240"/>
  <c r="G252"/>
  <c r="G264"/>
  <c r="G272"/>
  <c r="G273"/>
  <c r="G291"/>
  <c r="G296"/>
  <c r="G312"/>
  <c r="G320"/>
  <c r="G64" i="17"/>
  <c r="E322" i="16"/>
  <c r="E65" i="17" s="1"/>
  <c r="G323" i="16"/>
  <c r="F66" i="17"/>
  <c r="G66" s="1"/>
  <c r="G67"/>
  <c r="G325" i="16"/>
  <c r="G329"/>
  <c r="G330"/>
  <c r="F73" i="17"/>
  <c r="G73" s="1"/>
  <c r="G333" i="16"/>
  <c r="G334"/>
  <c r="F77" i="17"/>
  <c r="G80"/>
  <c r="E340" i="16"/>
  <c r="E83" i="17" s="1"/>
  <c r="E84"/>
  <c r="G341" i="16"/>
  <c r="G342"/>
  <c r="F85" i="17"/>
  <c r="G85" s="1"/>
  <c r="G343" i="16"/>
  <c r="F86" i="17"/>
  <c r="G86" s="1"/>
  <c r="G88"/>
  <c r="E348" i="16"/>
  <c r="E91" i="17" s="1"/>
  <c r="E92"/>
  <c r="G92" s="1"/>
  <c r="G349" i="16"/>
  <c r="G350"/>
  <c r="F93" i="17"/>
  <c r="G93" s="1"/>
  <c r="G351" i="16"/>
  <c r="F94" i="17"/>
  <c r="G94" s="1"/>
  <c r="G96"/>
  <c r="G356" i="16"/>
  <c r="G410"/>
  <c r="G105" i="17"/>
  <c r="G109"/>
  <c r="G458" i="16"/>
  <c r="G459"/>
  <c r="G318"/>
  <c r="F317"/>
  <c r="G247"/>
  <c r="F228"/>
  <c r="G228" s="1"/>
  <c r="D316"/>
  <c r="G370"/>
  <c r="E335"/>
  <c r="E449"/>
  <c r="E103" i="17" s="1"/>
  <c r="G454" i="16"/>
  <c r="F453"/>
  <c r="F107" i="17" s="1"/>
  <c r="G107" s="1"/>
  <c r="F203" i="16"/>
  <c r="F336"/>
  <c r="F79" i="17" s="1"/>
  <c r="F340" i="16"/>
  <c r="F344"/>
  <c r="F352"/>
  <c r="E390"/>
  <c r="G390" s="1"/>
  <c r="F400"/>
  <c r="G400" s="1"/>
  <c r="F58"/>
  <c r="F71"/>
  <c r="G71" s="1"/>
  <c r="F159"/>
  <c r="G248"/>
  <c r="G371"/>
  <c r="G411"/>
  <c r="F429"/>
  <c r="G429" s="1"/>
  <c r="G328"/>
  <c r="F348"/>
  <c r="F360"/>
  <c r="G360" s="1"/>
  <c r="F115"/>
  <c r="G115" s="1"/>
  <c r="F322"/>
  <c r="F358"/>
  <c r="F380"/>
  <c r="G380" s="1"/>
  <c r="F420"/>
  <c r="G420" s="1"/>
  <c r="F439"/>
  <c r="G439" s="1"/>
  <c r="G358" l="1"/>
  <c r="F101" i="17"/>
  <c r="G101" s="1"/>
  <c r="G348" i="16"/>
  <c r="F91" i="17"/>
  <c r="G91" s="1"/>
  <c r="G344" i="16"/>
  <c r="F87" i="17"/>
  <c r="G87" s="1"/>
  <c r="G79"/>
  <c r="F60"/>
  <c r="G60" s="1"/>
  <c r="G71"/>
  <c r="E316" i="16"/>
  <c r="E60" i="17"/>
  <c r="G322" i="16"/>
  <c r="F65" i="17"/>
  <c r="G65" s="1"/>
  <c r="G352" i="16"/>
  <c r="F95" i="17"/>
  <c r="G95" s="1"/>
  <c r="G340" i="16"/>
  <c r="F83" i="17"/>
  <c r="G83" s="1"/>
  <c r="G84"/>
  <c r="G108"/>
  <c r="E78"/>
  <c r="G203" i="16"/>
  <c r="F184"/>
  <c r="G184" s="1"/>
  <c r="G317"/>
  <c r="H316"/>
  <c r="F335"/>
  <c r="G335" s="1"/>
  <c r="G336"/>
  <c r="G159"/>
  <c r="F140"/>
  <c r="G140" s="1"/>
  <c r="G58"/>
  <c r="F52"/>
  <c r="G52" s="1"/>
  <c r="G453"/>
  <c r="F450"/>
  <c r="F104" i="17" s="1"/>
  <c r="G104" s="1"/>
  <c r="F96" i="16"/>
  <c r="G96" s="1"/>
  <c r="E59" i="17" l="1"/>
  <c r="E58" s="1"/>
  <c r="E138" s="1"/>
  <c r="F316" i="16"/>
  <c r="F78" i="17"/>
  <c r="G450" i="16"/>
  <c r="F449"/>
  <c r="G316"/>
  <c r="F59" i="17" l="1"/>
  <c r="G78"/>
  <c r="G77" s="1"/>
  <c r="G449" i="16"/>
  <c r="F103" i="17"/>
  <c r="G103" s="1"/>
  <c r="G51" i="16"/>
  <c r="G50"/>
  <c r="G49"/>
  <c r="G48"/>
  <c r="G47"/>
  <c r="G46"/>
  <c r="G45"/>
  <c r="G44"/>
  <c r="F43"/>
  <c r="E43"/>
  <c r="F42"/>
  <c r="E42"/>
  <c r="F41"/>
  <c r="E41"/>
  <c r="E40" s="1"/>
  <c r="G39"/>
  <c r="G38"/>
  <c r="F37"/>
  <c r="E37"/>
  <c r="F36"/>
  <c r="E36"/>
  <c r="G36" s="1"/>
  <c r="F35"/>
  <c r="G35" s="1"/>
  <c r="E35"/>
  <c r="F34"/>
  <c r="G34" s="1"/>
  <c r="E34"/>
  <c r="F33"/>
  <c r="G33" s="1"/>
  <c r="E33"/>
  <c r="F32"/>
  <c r="E32"/>
  <c r="G32" s="1"/>
  <c r="G29"/>
  <c r="G28"/>
  <c r="G27"/>
  <c r="G26"/>
  <c r="G25"/>
  <c r="F24"/>
  <c r="G24" s="1"/>
  <c r="E24"/>
  <c r="E23" s="1"/>
  <c r="G59" i="17" l="1"/>
  <c r="G37" i="16"/>
  <c r="G41"/>
  <c r="G42"/>
  <c r="G43"/>
  <c r="F58" i="17"/>
  <c r="E31" i="16"/>
  <c r="E30" s="1"/>
  <c r="F31"/>
  <c r="F40"/>
  <c r="G40" s="1"/>
  <c r="F23"/>
  <c r="G23" s="1"/>
  <c r="G58" i="17" l="1"/>
  <c r="F138"/>
  <c r="G138" s="1"/>
  <c r="G31" i="16"/>
  <c r="F30"/>
  <c r="G30" s="1"/>
  <c r="G22" l="1"/>
  <c r="F21"/>
  <c r="E21"/>
  <c r="G20"/>
  <c r="G19"/>
  <c r="G18"/>
  <c r="G17"/>
  <c r="G16"/>
  <c r="F15"/>
  <c r="G15" s="1"/>
  <c r="G14"/>
  <c r="G13"/>
  <c r="G12"/>
  <c r="G11"/>
  <c r="G10"/>
  <c r="G9"/>
  <c r="G8"/>
  <c r="F7"/>
  <c r="E6"/>
  <c r="G295" i="15"/>
  <c r="F202"/>
  <c r="E202"/>
  <c r="G205"/>
  <c r="F194"/>
  <c r="E194"/>
  <c r="G197"/>
  <c r="F175"/>
  <c r="E175"/>
  <c r="F189"/>
  <c r="E189"/>
  <c r="F169"/>
  <c r="E169"/>
  <c r="G174"/>
  <c r="G167"/>
  <c r="F140"/>
  <c r="E140"/>
  <c r="G141"/>
  <c r="F111"/>
  <c r="E111"/>
  <c r="G115"/>
  <c r="G72"/>
  <c r="F71"/>
  <c r="E71"/>
  <c r="G50"/>
  <c r="G49"/>
  <c r="G48"/>
  <c r="G47"/>
  <c r="G46"/>
  <c r="G45"/>
  <c r="G44"/>
  <c r="F43"/>
  <c r="E43"/>
  <c r="F42"/>
  <c r="G42" s="1"/>
  <c r="E42"/>
  <c r="F41"/>
  <c r="E41"/>
  <c r="E40" s="1"/>
  <c r="G39"/>
  <c r="G38"/>
  <c r="F37"/>
  <c r="E37"/>
  <c r="F36"/>
  <c r="E36"/>
  <c r="F35"/>
  <c r="E35"/>
  <c r="F34"/>
  <c r="E34"/>
  <c r="F33"/>
  <c r="E33"/>
  <c r="G33" s="1"/>
  <c r="F32"/>
  <c r="E32"/>
  <c r="E31" s="1"/>
  <c r="E30" s="1"/>
  <c r="G41" l="1"/>
  <c r="E472" i="16"/>
  <c r="G21"/>
  <c r="G7"/>
  <c r="F6"/>
  <c r="F472" s="1"/>
  <c r="G34" i="15"/>
  <c r="G36"/>
  <c r="G32"/>
  <c r="G35"/>
  <c r="G37"/>
  <c r="F40"/>
  <c r="G40" s="1"/>
  <c r="G43"/>
  <c r="F31"/>
  <c r="G472" i="16" l="1"/>
  <c r="G6"/>
  <c r="F30" i="15"/>
  <c r="G30" s="1"/>
  <c r="G31"/>
  <c r="G299" l="1"/>
  <c r="G298"/>
  <c r="G297"/>
  <c r="G296"/>
  <c r="F294"/>
  <c r="E294"/>
  <c r="G294" s="1"/>
  <c r="G293"/>
  <c r="G292"/>
  <c r="G291"/>
  <c r="G290"/>
  <c r="G289"/>
  <c r="F288"/>
  <c r="E288"/>
  <c r="G287"/>
  <c r="G286"/>
  <c r="G285"/>
  <c r="F284"/>
  <c r="E284"/>
  <c r="G284" s="1"/>
  <c r="G283"/>
  <c r="G282"/>
  <c r="G281"/>
  <c r="F280"/>
  <c r="E280"/>
  <c r="F279"/>
  <c r="G278"/>
  <c r="G277"/>
  <c r="G276"/>
  <c r="F275"/>
  <c r="G275" s="1"/>
  <c r="E275"/>
  <c r="G274"/>
  <c r="G273"/>
  <c r="G272"/>
  <c r="F271"/>
  <c r="E271"/>
  <c r="E270" s="1"/>
  <c r="G269"/>
  <c r="G268"/>
  <c r="G267"/>
  <c r="F266"/>
  <c r="F261" s="1"/>
  <c r="E266"/>
  <c r="G265"/>
  <c r="G264"/>
  <c r="G263"/>
  <c r="F262"/>
  <c r="E262"/>
  <c r="G260"/>
  <c r="G259"/>
  <c r="G258"/>
  <c r="F257"/>
  <c r="E257"/>
  <c r="G256"/>
  <c r="G255"/>
  <c r="G254"/>
  <c r="F253"/>
  <c r="E253"/>
  <c r="G251"/>
  <c r="G250"/>
  <c r="G249"/>
  <c r="F248"/>
  <c r="E248"/>
  <c r="G247"/>
  <c r="G246"/>
  <c r="F245"/>
  <c r="E245"/>
  <c r="E244" s="1"/>
  <c r="G243"/>
  <c r="G242"/>
  <c r="G241"/>
  <c r="F240"/>
  <c r="E240"/>
  <c r="G239"/>
  <c r="G238"/>
  <c r="G237"/>
  <c r="F236"/>
  <c r="E236"/>
  <c r="G234"/>
  <c r="G233"/>
  <c r="G232"/>
  <c r="F231"/>
  <c r="E231"/>
  <c r="G230"/>
  <c r="G229"/>
  <c r="G228"/>
  <c r="F227"/>
  <c r="E227"/>
  <c r="G225"/>
  <c r="G224"/>
  <c r="G223"/>
  <c r="F222"/>
  <c r="E222"/>
  <c r="G221"/>
  <c r="G220"/>
  <c r="F219"/>
  <c r="E219"/>
  <c r="E218" s="1"/>
  <c r="F217"/>
  <c r="G217" s="1"/>
  <c r="E216"/>
  <c r="G215"/>
  <c r="F214"/>
  <c r="E214"/>
  <c r="G213"/>
  <c r="G212"/>
  <c r="F211"/>
  <c r="E211"/>
  <c r="G210"/>
  <c r="G209"/>
  <c r="G208"/>
  <c r="F207"/>
  <c r="E207"/>
  <c r="G207" s="1"/>
  <c r="G204"/>
  <c r="G203"/>
  <c r="G201"/>
  <c r="G200"/>
  <c r="G199"/>
  <c r="F198"/>
  <c r="E198"/>
  <c r="G196"/>
  <c r="G195"/>
  <c r="G192"/>
  <c r="F191"/>
  <c r="E191"/>
  <c r="G190"/>
  <c r="G189"/>
  <c r="G188"/>
  <c r="G187"/>
  <c r="F186"/>
  <c r="E186"/>
  <c r="F184"/>
  <c r="E184"/>
  <c r="G183"/>
  <c r="G182"/>
  <c r="G181"/>
  <c r="F180"/>
  <c r="E180"/>
  <c r="G178"/>
  <c r="G177"/>
  <c r="G176"/>
  <c r="G175"/>
  <c r="G173"/>
  <c r="G172"/>
  <c r="G171"/>
  <c r="G170"/>
  <c r="G168"/>
  <c r="G166"/>
  <c r="F165"/>
  <c r="E165"/>
  <c r="G163"/>
  <c r="F162"/>
  <c r="E162"/>
  <c r="G161"/>
  <c r="F160"/>
  <c r="E160"/>
  <c r="G159"/>
  <c r="G158"/>
  <c r="F157"/>
  <c r="E157"/>
  <c r="G156"/>
  <c r="F155"/>
  <c r="E155"/>
  <c r="G154"/>
  <c r="G153"/>
  <c r="F152"/>
  <c r="E152"/>
  <c r="G151"/>
  <c r="F149"/>
  <c r="E149"/>
  <c r="G148"/>
  <c r="G147"/>
  <c r="G146"/>
  <c r="F145"/>
  <c r="E145"/>
  <c r="F144"/>
  <c r="G143"/>
  <c r="G142"/>
  <c r="G140"/>
  <c r="G139"/>
  <c r="G138"/>
  <c r="G137"/>
  <c r="F136"/>
  <c r="E136"/>
  <c r="G135"/>
  <c r="G134"/>
  <c r="G133"/>
  <c r="G132"/>
  <c r="F131"/>
  <c r="E131"/>
  <c r="G129"/>
  <c r="F128"/>
  <c r="E128"/>
  <c r="G127"/>
  <c r="F126"/>
  <c r="E126"/>
  <c r="G125"/>
  <c r="G124"/>
  <c r="F123"/>
  <c r="E123"/>
  <c r="G122"/>
  <c r="F121"/>
  <c r="E121"/>
  <c r="G120"/>
  <c r="G119"/>
  <c r="G118"/>
  <c r="F117"/>
  <c r="E117"/>
  <c r="G114"/>
  <c r="G113"/>
  <c r="G112"/>
  <c r="G110"/>
  <c r="G109"/>
  <c r="F108"/>
  <c r="E108"/>
  <c r="G107"/>
  <c r="G106"/>
  <c r="F105"/>
  <c r="E105"/>
  <c r="G103"/>
  <c r="F102"/>
  <c r="E102"/>
  <c r="G101"/>
  <c r="F100"/>
  <c r="E100"/>
  <c r="G99"/>
  <c r="G98"/>
  <c r="F97"/>
  <c r="E97"/>
  <c r="G96"/>
  <c r="F95"/>
  <c r="E95"/>
  <c r="G95" s="1"/>
  <c r="G94"/>
  <c r="G93"/>
  <c r="G92"/>
  <c r="F91"/>
  <c r="E91"/>
  <c r="F90"/>
  <c r="G89"/>
  <c r="G88"/>
  <c r="F87"/>
  <c r="E87"/>
  <c r="G86"/>
  <c r="G85"/>
  <c r="F84"/>
  <c r="E84"/>
  <c r="G83"/>
  <c r="G82"/>
  <c r="G81"/>
  <c r="F80"/>
  <c r="E80"/>
  <c r="G78"/>
  <c r="F77"/>
  <c r="E77"/>
  <c r="G76"/>
  <c r="F75"/>
  <c r="G75" s="1"/>
  <c r="E75"/>
  <c r="G74"/>
  <c r="G73"/>
  <c r="G71"/>
  <c r="G70"/>
  <c r="F69"/>
  <c r="E69"/>
  <c r="G68"/>
  <c r="G67"/>
  <c r="G66"/>
  <c r="F65"/>
  <c r="E65"/>
  <c r="G63"/>
  <c r="G62"/>
  <c r="F61"/>
  <c r="E61"/>
  <c r="G61" s="1"/>
  <c r="G60"/>
  <c r="G59"/>
  <c r="G58"/>
  <c r="G57"/>
  <c r="F56"/>
  <c r="E56"/>
  <c r="G55"/>
  <c r="G54"/>
  <c r="G53"/>
  <c r="F52"/>
  <c r="G52" s="1"/>
  <c r="E52"/>
  <c r="G29"/>
  <c r="G28"/>
  <c r="G27"/>
  <c r="G26"/>
  <c r="G25"/>
  <c r="F24"/>
  <c r="E24"/>
  <c r="E23" s="1"/>
  <c r="F23"/>
  <c r="G22"/>
  <c r="F21"/>
  <c r="E21"/>
  <c r="G20"/>
  <c r="G19"/>
  <c r="G18"/>
  <c r="G17"/>
  <c r="G16"/>
  <c r="F15"/>
  <c r="G15" s="1"/>
  <c r="E15"/>
  <c r="G14"/>
  <c r="G13"/>
  <c r="G12"/>
  <c r="G11"/>
  <c r="G10"/>
  <c r="G9"/>
  <c r="G8"/>
  <c r="F7"/>
  <c r="E7"/>
  <c r="E6" s="1"/>
  <c r="F174" i="14"/>
  <c r="F169"/>
  <c r="E169"/>
  <c r="G22"/>
  <c r="F15"/>
  <c r="E15"/>
  <c r="G20"/>
  <c r="G19"/>
  <c r="G18"/>
  <c r="G17"/>
  <c r="G16"/>
  <c r="G14"/>
  <c r="G13"/>
  <c r="G12"/>
  <c r="G11"/>
  <c r="G10"/>
  <c r="G9"/>
  <c r="G8"/>
  <c r="F7"/>
  <c r="F6" s="1"/>
  <c r="E7"/>
  <c r="E6" s="1"/>
  <c r="F280"/>
  <c r="E280"/>
  <c r="G285"/>
  <c r="F206" i="15" l="1"/>
  <c r="G214"/>
  <c r="G248"/>
  <c r="F235"/>
  <c r="G222"/>
  <c r="G69"/>
  <c r="E90"/>
  <c r="G90" s="1"/>
  <c r="G97"/>
  <c r="G117"/>
  <c r="G128"/>
  <c r="G160"/>
  <c r="G198"/>
  <c r="E226"/>
  <c r="G231"/>
  <c r="G240"/>
  <c r="E252"/>
  <c r="G257"/>
  <c r="G266"/>
  <c r="E116"/>
  <c r="E104" s="1"/>
  <c r="E179"/>
  <c r="E164" s="1"/>
  <c r="G180"/>
  <c r="G155"/>
  <c r="E144"/>
  <c r="G144" s="1"/>
  <c r="G131"/>
  <c r="G123"/>
  <c r="G108"/>
  <c r="G84"/>
  <c r="F64"/>
  <c r="E64"/>
  <c r="G64" s="1"/>
  <c r="G77"/>
  <c r="G80"/>
  <c r="G87"/>
  <c r="G100"/>
  <c r="G152"/>
  <c r="G157"/>
  <c r="G162"/>
  <c r="G165"/>
  <c r="G186"/>
  <c r="G191"/>
  <c r="G194"/>
  <c r="G202"/>
  <c r="G211"/>
  <c r="F216"/>
  <c r="G216" s="1"/>
  <c r="G219"/>
  <c r="G227"/>
  <c r="G236"/>
  <c r="G245"/>
  <c r="G253"/>
  <c r="G262"/>
  <c r="G271"/>
  <c r="G280"/>
  <c r="G288"/>
  <c r="G7"/>
  <c r="G21"/>
  <c r="G56"/>
  <c r="E51"/>
  <c r="G102"/>
  <c r="G111"/>
  <c r="G121"/>
  <c r="G126"/>
  <c r="G136"/>
  <c r="G149"/>
  <c r="G169"/>
  <c r="G23"/>
  <c r="G24"/>
  <c r="G65"/>
  <c r="F6"/>
  <c r="F51"/>
  <c r="G51" s="1"/>
  <c r="G91"/>
  <c r="G105"/>
  <c r="G145"/>
  <c r="F179"/>
  <c r="F164" s="1"/>
  <c r="F193"/>
  <c r="E206"/>
  <c r="E193" s="1"/>
  <c r="F218"/>
  <c r="G218" s="1"/>
  <c r="F226"/>
  <c r="E235"/>
  <c r="G235" s="1"/>
  <c r="F244"/>
  <c r="G244" s="1"/>
  <c r="F252"/>
  <c r="G252" s="1"/>
  <c r="E261"/>
  <c r="G261" s="1"/>
  <c r="F270"/>
  <c r="G270" s="1"/>
  <c r="E279"/>
  <c r="G279" s="1"/>
  <c r="F79"/>
  <c r="F116"/>
  <c r="F130"/>
  <c r="G7" i="14"/>
  <c r="F64"/>
  <c r="F55"/>
  <c r="F51"/>
  <c r="F21"/>
  <c r="E21"/>
  <c r="G226" i="15" l="1"/>
  <c r="E130"/>
  <c r="E79"/>
  <c r="G130"/>
  <c r="G79"/>
  <c r="E300"/>
  <c r="G116"/>
  <c r="F104"/>
  <c r="G104" s="1"/>
  <c r="G179"/>
  <c r="G164"/>
  <c r="G6"/>
  <c r="G193"/>
  <c r="G206"/>
  <c r="G6" i="14"/>
  <c r="G15"/>
  <c r="G21"/>
  <c r="F300" i="15" l="1"/>
  <c r="G300" s="1"/>
  <c r="F276" i="14"/>
  <c r="E276"/>
  <c r="F267"/>
  <c r="E267"/>
  <c r="F258" l="1"/>
  <c r="E258"/>
  <c r="F249"/>
  <c r="E249"/>
  <c r="F237"/>
  <c r="E237"/>
  <c r="F240"/>
  <c r="E240"/>
  <c r="F232"/>
  <c r="E232"/>
  <c r="F223"/>
  <c r="E223"/>
  <c r="F214"/>
  <c r="E214"/>
  <c r="F211"/>
  <c r="E211"/>
  <c r="F203" l="1"/>
  <c r="E203"/>
  <c r="F206"/>
  <c r="E206"/>
  <c r="F178"/>
  <c r="E178"/>
  <c r="F180"/>
  <c r="E180"/>
  <c r="F183"/>
  <c r="E183"/>
  <c r="F153"/>
  <c r="E153"/>
  <c r="F151"/>
  <c r="E151"/>
  <c r="F148"/>
  <c r="E148"/>
  <c r="F145"/>
  <c r="E145"/>
  <c r="F123"/>
  <c r="E123"/>
  <c r="F120"/>
  <c r="E120"/>
  <c r="F118"/>
  <c r="E118"/>
  <c r="F98"/>
  <c r="E98"/>
  <c r="F95"/>
  <c r="E95"/>
  <c r="F93"/>
  <c r="E93"/>
  <c r="F73"/>
  <c r="E73"/>
  <c r="F70"/>
  <c r="E70"/>
  <c r="F68"/>
  <c r="F63" s="1"/>
  <c r="E68"/>
  <c r="G69"/>
  <c r="F173" l="1"/>
  <c r="G68"/>
  <c r="G291"/>
  <c r="G290"/>
  <c r="G289"/>
  <c r="G288"/>
  <c r="F286"/>
  <c r="E286"/>
  <c r="G284"/>
  <c r="G283"/>
  <c r="G282"/>
  <c r="G281"/>
  <c r="G279"/>
  <c r="G278"/>
  <c r="G277"/>
  <c r="G275"/>
  <c r="G274"/>
  <c r="G273"/>
  <c r="F272"/>
  <c r="E272"/>
  <c r="G270"/>
  <c r="G269"/>
  <c r="G268"/>
  <c r="G266"/>
  <c r="G265"/>
  <c r="G264"/>
  <c r="F263"/>
  <c r="E263"/>
  <c r="G261"/>
  <c r="G260"/>
  <c r="G259"/>
  <c r="G257"/>
  <c r="G256"/>
  <c r="G255"/>
  <c r="F254"/>
  <c r="E254"/>
  <c r="G252"/>
  <c r="G251"/>
  <c r="G250"/>
  <c r="G248"/>
  <c r="G247"/>
  <c r="G246"/>
  <c r="F245"/>
  <c r="E245"/>
  <c r="G243"/>
  <c r="G242"/>
  <c r="G241"/>
  <c r="G239"/>
  <c r="G238"/>
  <c r="G235"/>
  <c r="G234"/>
  <c r="G233"/>
  <c r="G231"/>
  <c r="G230"/>
  <c r="G229"/>
  <c r="F228"/>
  <c r="E228"/>
  <c r="G226"/>
  <c r="G225"/>
  <c r="G224"/>
  <c r="G222"/>
  <c r="G221"/>
  <c r="G220"/>
  <c r="F219"/>
  <c r="E219"/>
  <c r="G217"/>
  <c r="G216"/>
  <c r="G215"/>
  <c r="G213"/>
  <c r="G212"/>
  <c r="F209"/>
  <c r="E208"/>
  <c r="G207"/>
  <c r="G205"/>
  <c r="G204"/>
  <c r="G202"/>
  <c r="G201"/>
  <c r="G200"/>
  <c r="F199"/>
  <c r="F198" s="1"/>
  <c r="E199"/>
  <c r="E198" s="1"/>
  <c r="G197"/>
  <c r="G196"/>
  <c r="F195"/>
  <c r="E195"/>
  <c r="G194"/>
  <c r="G193"/>
  <c r="G192"/>
  <c r="F191"/>
  <c r="E191"/>
  <c r="G190"/>
  <c r="G189"/>
  <c r="F188"/>
  <c r="E188"/>
  <c r="E187" s="1"/>
  <c r="G186"/>
  <c r="F185"/>
  <c r="E185"/>
  <c r="G184"/>
  <c r="G182"/>
  <c r="G181"/>
  <c r="G177"/>
  <c r="G176"/>
  <c r="G175"/>
  <c r="E174"/>
  <c r="E173" s="1"/>
  <c r="G172"/>
  <c r="G171"/>
  <c r="G170"/>
  <c r="G168"/>
  <c r="G167"/>
  <c r="G166"/>
  <c r="G165"/>
  <c r="F164"/>
  <c r="E164"/>
  <c r="G163"/>
  <c r="G162"/>
  <c r="F161"/>
  <c r="E161"/>
  <c r="E160" s="1"/>
  <c r="G159"/>
  <c r="F158"/>
  <c r="E158"/>
  <c r="G157"/>
  <c r="F156"/>
  <c r="E156"/>
  <c r="G155"/>
  <c r="G154"/>
  <c r="G152"/>
  <c r="G150"/>
  <c r="G149"/>
  <c r="G147"/>
  <c r="G144"/>
  <c r="G143"/>
  <c r="G142"/>
  <c r="F141"/>
  <c r="F140" s="1"/>
  <c r="E141"/>
  <c r="E140" s="1"/>
  <c r="G139"/>
  <c r="G138"/>
  <c r="F137"/>
  <c r="E137"/>
  <c r="G136"/>
  <c r="G135"/>
  <c r="G134"/>
  <c r="F133"/>
  <c r="E133"/>
  <c r="G132"/>
  <c r="G131"/>
  <c r="G130"/>
  <c r="G129"/>
  <c r="F128"/>
  <c r="E128"/>
  <c r="E127" s="1"/>
  <c r="G126"/>
  <c r="F125"/>
  <c r="E125"/>
  <c r="G124"/>
  <c r="G122"/>
  <c r="G121"/>
  <c r="G119"/>
  <c r="G117"/>
  <c r="G116"/>
  <c r="G115"/>
  <c r="F114"/>
  <c r="F113" s="1"/>
  <c r="E114"/>
  <c r="E113" s="1"/>
  <c r="G112"/>
  <c r="G111"/>
  <c r="G110"/>
  <c r="F109"/>
  <c r="E109"/>
  <c r="G108"/>
  <c r="G107"/>
  <c r="F106"/>
  <c r="E106"/>
  <c r="G105"/>
  <c r="G104"/>
  <c r="F103"/>
  <c r="F102" s="1"/>
  <c r="E103"/>
  <c r="E102" s="1"/>
  <c r="G101"/>
  <c r="F100"/>
  <c r="E100"/>
  <c r="G99"/>
  <c r="G97"/>
  <c r="G96"/>
  <c r="G94"/>
  <c r="G92"/>
  <c r="G91"/>
  <c r="G90"/>
  <c r="F89"/>
  <c r="E89"/>
  <c r="G87"/>
  <c r="G86"/>
  <c r="F85"/>
  <c r="E85"/>
  <c r="G84"/>
  <c r="G83"/>
  <c r="F82"/>
  <c r="E82"/>
  <c r="G81"/>
  <c r="G80"/>
  <c r="G79"/>
  <c r="F78"/>
  <c r="E78"/>
  <c r="G76"/>
  <c r="F75"/>
  <c r="E75"/>
  <c r="G74"/>
  <c r="G73"/>
  <c r="G72"/>
  <c r="G71"/>
  <c r="G67"/>
  <c r="G66"/>
  <c r="G65"/>
  <c r="E64"/>
  <c r="G62"/>
  <c r="G61"/>
  <c r="F60"/>
  <c r="F50" s="1"/>
  <c r="E60"/>
  <c r="G59"/>
  <c r="G58"/>
  <c r="G57"/>
  <c r="G56"/>
  <c r="E55"/>
  <c r="G54"/>
  <c r="G53"/>
  <c r="G52"/>
  <c r="E51"/>
  <c r="F127" l="1"/>
  <c r="E88"/>
  <c r="E77" s="1"/>
  <c r="F160"/>
  <c r="G188"/>
  <c r="G195"/>
  <c r="G206"/>
  <c r="F208"/>
  <c r="G208" s="1"/>
  <c r="G209"/>
  <c r="F262"/>
  <c r="F271"/>
  <c r="F236"/>
  <c r="G254"/>
  <c r="G258"/>
  <c r="F88"/>
  <c r="F77" s="1"/>
  <c r="G95"/>
  <c r="G100"/>
  <c r="G133"/>
  <c r="G141"/>
  <c r="G103"/>
  <c r="G109"/>
  <c r="E210"/>
  <c r="F218"/>
  <c r="E227"/>
  <c r="G232"/>
  <c r="G240"/>
  <c r="G272"/>
  <c r="E271"/>
  <c r="G148"/>
  <c r="G153"/>
  <c r="G158"/>
  <c r="G174"/>
  <c r="G180"/>
  <c r="G114"/>
  <c r="G120"/>
  <c r="G123"/>
  <c r="G161"/>
  <c r="G169"/>
  <c r="G214"/>
  <c r="G223"/>
  <c r="E244"/>
  <c r="G249"/>
  <c r="E253"/>
  <c r="G263"/>
  <c r="E262"/>
  <c r="G51"/>
  <c r="G60"/>
  <c r="E63"/>
  <c r="E50" s="1"/>
  <c r="G70"/>
  <c r="G75"/>
  <c r="G78"/>
  <c r="G85"/>
  <c r="G93"/>
  <c r="G98"/>
  <c r="G118"/>
  <c r="G125"/>
  <c r="G128"/>
  <c r="G137"/>
  <c r="G145"/>
  <c r="G151"/>
  <c r="G156"/>
  <c r="G164"/>
  <c r="G183"/>
  <c r="G185"/>
  <c r="G191"/>
  <c r="G198"/>
  <c r="G203"/>
  <c r="G211"/>
  <c r="E218"/>
  <c r="G228"/>
  <c r="E236"/>
  <c r="G236" s="1"/>
  <c r="G245"/>
  <c r="F253"/>
  <c r="G267"/>
  <c r="G276"/>
  <c r="G280"/>
  <c r="G286"/>
  <c r="G55"/>
  <c r="G64"/>
  <c r="G82"/>
  <c r="G89"/>
  <c r="G106"/>
  <c r="G199"/>
  <c r="G219"/>
  <c r="G237"/>
  <c r="F210"/>
  <c r="F227"/>
  <c r="F244"/>
  <c r="F187" l="1"/>
  <c r="G187" s="1"/>
  <c r="G218"/>
  <c r="G210"/>
  <c r="G271"/>
  <c r="G244"/>
  <c r="G88"/>
  <c r="G50"/>
  <c r="G227"/>
  <c r="G173"/>
  <c r="G262"/>
  <c r="G160"/>
  <c r="G113"/>
  <c r="G102"/>
  <c r="G63"/>
  <c r="G253"/>
  <c r="G77"/>
  <c r="G140"/>
  <c r="G127"/>
  <c r="F37" l="1"/>
  <c r="F41"/>
  <c r="F40"/>
  <c r="F36"/>
  <c r="F35"/>
  <c r="F34"/>
  <c r="F33"/>
  <c r="F32"/>
  <c r="G49"/>
  <c r="G48"/>
  <c r="G47"/>
  <c r="G46"/>
  <c r="G45"/>
  <c r="G44"/>
  <c r="G43"/>
  <c r="F42"/>
  <c r="E42"/>
  <c r="E41"/>
  <c r="G41" s="1"/>
  <c r="E40"/>
  <c r="G38"/>
  <c r="E37"/>
  <c r="E36"/>
  <c r="G36" s="1"/>
  <c r="E35"/>
  <c r="E34"/>
  <c r="G34" s="1"/>
  <c r="E33"/>
  <c r="E32"/>
  <c r="G29"/>
  <c r="G28"/>
  <c r="G27"/>
  <c r="G26"/>
  <c r="G25"/>
  <c r="F24"/>
  <c r="E24"/>
  <c r="E23" s="1"/>
  <c r="E39" l="1"/>
  <c r="G42"/>
  <c r="E31"/>
  <c r="E30" s="1"/>
  <c r="E292" s="1"/>
  <c r="G33"/>
  <c r="G40"/>
  <c r="G24"/>
  <c r="G35"/>
  <c r="G37"/>
  <c r="G32"/>
  <c r="F23"/>
  <c r="F31"/>
  <c r="F39"/>
  <c r="G23" l="1"/>
  <c r="G39"/>
  <c r="G31"/>
  <c r="F30"/>
  <c r="G30" s="1"/>
  <c r="F292" l="1"/>
  <c r="G292" s="1"/>
  <c r="G72" i="24"/>
  <c r="G122"/>
  <c r="E130"/>
  <c r="F130"/>
  <c r="H130"/>
  <c r="K72"/>
  <c r="K122"/>
  <c r="I130"/>
  <c r="J130"/>
  <c r="G130" l="1"/>
  <c r="K130"/>
</calcChain>
</file>

<file path=xl/sharedStrings.xml><?xml version="1.0" encoding="utf-8"?>
<sst xmlns="http://schemas.openxmlformats.org/spreadsheetml/2006/main" count="4912" uniqueCount="397">
  <si>
    <t>№ п/п</t>
  </si>
  <si>
    <t>Наименование</t>
  </si>
  <si>
    <t>Показатель объёма муниципальной услуги (единица измерения)</t>
  </si>
  <si>
    <t>Примечание</t>
  </si>
  <si>
    <t>1</t>
  </si>
  <si>
    <t>человеко-часы</t>
  </si>
  <si>
    <t>2</t>
  </si>
  <si>
    <t>2.1</t>
  </si>
  <si>
    <t>3</t>
  </si>
  <si>
    <t>человек</t>
  </si>
  <si>
    <t>Реализация дополнительных предпрофессиональных программ в области физической культуры и спорта</t>
  </si>
  <si>
    <t>национальные виды спорта</t>
  </si>
  <si>
    <t>2.2</t>
  </si>
  <si>
    <t>сложно-координационные  виды спорта</t>
  </si>
  <si>
    <t>2.3</t>
  </si>
  <si>
    <t>спортивные единоборства</t>
  </si>
  <si>
    <t>2.4</t>
  </si>
  <si>
    <t>циклические, скоростно-силовые виды спорта и многоборья</t>
  </si>
  <si>
    <t>4</t>
  </si>
  <si>
    <t>Организация и проведение официальных физкультурных (физкультурно-оздоровительных) мероприятий</t>
  </si>
  <si>
    <t xml:space="preserve">количество мероприятий </t>
  </si>
  <si>
    <t>5</t>
  </si>
  <si>
    <t>Организация мероприятий по подготовке спортивных сборных команд</t>
  </si>
  <si>
    <t xml:space="preserve">игровые виды спорта </t>
  </si>
  <si>
    <t>6</t>
  </si>
  <si>
    <t>количество мероприятий</t>
  </si>
  <si>
    <t>1.1</t>
  </si>
  <si>
    <t>1.2</t>
  </si>
  <si>
    <t>1.3</t>
  </si>
  <si>
    <t>1.4</t>
  </si>
  <si>
    <t>1.5</t>
  </si>
  <si>
    <t>Организация отдыха детей и молодёжи</t>
  </si>
  <si>
    <t>1.6</t>
  </si>
  <si>
    <t xml:space="preserve">% исполнения </t>
  </si>
  <si>
    <t>МАУ ДО "ДЮСШ "Старт"</t>
  </si>
  <si>
    <t>7</t>
  </si>
  <si>
    <t>количество испытаний (тестов)</t>
  </si>
  <si>
    <t>Организация и проведение физкультурных и спортивных мероприятий в рамках Всероссийского физкультурно спортивного комплекса "Готов к труду и обороне" (ГТО)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</si>
  <si>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</si>
  <si>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МАУ  "СШ "Старт"</t>
  </si>
  <si>
    <t xml:space="preserve">Проведение занятий физкультурно-спортивной направленности по месту проживания граждан </t>
  </si>
  <si>
    <t xml:space="preserve">Утверждённый план на 2021 год               </t>
  </si>
  <si>
    <t>Спортивная подготовка по олимпийским видам спорта</t>
  </si>
  <si>
    <t>дзюдо</t>
  </si>
  <si>
    <t xml:space="preserve">человек   </t>
  </si>
  <si>
    <t xml:space="preserve">плавание </t>
  </si>
  <si>
    <t>гандбол</t>
  </si>
  <si>
    <t>1.7</t>
  </si>
  <si>
    <t>биатлон</t>
  </si>
  <si>
    <t>бокс</t>
  </si>
  <si>
    <t>футбол</t>
  </si>
  <si>
    <t>хоккей</t>
  </si>
  <si>
    <t>Спортивная подготовка по неолимпийским видам спорта</t>
  </si>
  <si>
    <t>спортивная акробатика</t>
  </si>
  <si>
    <t>северное многоборье</t>
  </si>
  <si>
    <t>пауэрлифтинг</t>
  </si>
  <si>
    <t>самбо</t>
  </si>
  <si>
    <t>8</t>
  </si>
  <si>
    <t>Исполнено за 1 полугодие 2021 год</t>
  </si>
  <si>
    <t xml:space="preserve">Информация об исполнении муниципальных заданий муниципальными учреждениями города Урай  (в натуральных  показателях) за 1 полугодие 2021 года                                                                                                                       </t>
  </si>
  <si>
    <t>МБОУ  Гимназия</t>
  </si>
  <si>
    <t xml:space="preserve">число обучающихся </t>
  </si>
  <si>
    <t>3.1</t>
  </si>
  <si>
    <t>3.3</t>
  </si>
  <si>
    <t>Предоставление питания</t>
  </si>
  <si>
    <t>4.1.</t>
  </si>
  <si>
    <t>Численность отдельной категории обучающихся (Закон ХМАО-Югры от 30.01.2016 №4-оз )</t>
  </si>
  <si>
    <t>(1-4 классы)</t>
  </si>
  <si>
    <t>(5-9 классы)</t>
  </si>
  <si>
    <t>(10-11 классы)</t>
  </si>
  <si>
    <t>4.2.</t>
  </si>
  <si>
    <t>Численность обучающихся с ограниченными возможностями здоровья, обучающихся на дому (Постановление от 04.03.2016 №59-п)</t>
  </si>
  <si>
    <t>4.3.</t>
  </si>
  <si>
    <t>Численность обучающихся, получающих одноразовое питание, родители которых заключили договоры об организации питания (Поставновление администрации города Урай  от 28.01.2019 №150)</t>
  </si>
  <si>
    <t>4.4.</t>
  </si>
  <si>
    <t>Численность обучающихся начальных классов с 1 по 4 классы (Поставновление от 04.03.2016 №59-п, Постановление администрации города Урай  от 28.01.2020 №150)</t>
  </si>
  <si>
    <t>количество человек</t>
  </si>
  <si>
    <t>5.1.</t>
  </si>
  <si>
    <t>Реализация дополнительных общеразвивающих программ</t>
  </si>
  <si>
    <t>очная</t>
  </si>
  <si>
    <t xml:space="preserve">МБОУ СОШ №2  </t>
  </si>
  <si>
    <t xml:space="preserve">Получали питание  дети, родители которых заключили договоры на организацию питания </t>
  </si>
  <si>
    <t>МБОУ СОШ №4</t>
  </si>
  <si>
    <t>МБОУ СОШ №5</t>
  </si>
  <si>
    <t>Численность обучающихся , получающих двухразовое питание , родители которых заключили договоры об организации питания (Постановление администрации города Урай от 28.01.2019 №150)</t>
  </si>
  <si>
    <t>МБОУ СОШ №6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</si>
  <si>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</si>
  <si>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МБОУ СОШ №12</t>
  </si>
  <si>
    <t xml:space="preserve">Детский сад № 6"Дюймовочка" </t>
  </si>
  <si>
    <t xml:space="preserve">Присмотр и уход </t>
  </si>
  <si>
    <t>число детей</t>
  </si>
  <si>
    <t>Физические лица за исключением льготной категории Посещаемость детьми</t>
  </si>
  <si>
    <t>Дети-инвалиды</t>
  </si>
  <si>
    <t>показатель будет выполнен по итогам 4 квартала</t>
  </si>
  <si>
    <t>Дети - сироты</t>
  </si>
  <si>
    <t>2.</t>
  </si>
  <si>
    <t>Реализация основных общеобразовательных программ дошкольного образования</t>
  </si>
  <si>
    <t>2.1.</t>
  </si>
  <si>
    <t>от1 года до 3 лет</t>
  </si>
  <si>
    <t>2.2.</t>
  </si>
  <si>
    <t>от 3 лет до 8 лет</t>
  </si>
  <si>
    <t>Приказ о движении воспитанников</t>
  </si>
  <si>
    <t>адаптированная образовательная программа с обучающимися с ограниченными возможностями здоровья (ОВЗ) от 3 лет до 8 лет</t>
  </si>
  <si>
    <t xml:space="preserve">Детский сад № 7"Антошка" </t>
  </si>
  <si>
    <t>Детский сад "Умка" № 8</t>
  </si>
  <si>
    <t>Детский сад "Снежинка" № 10</t>
  </si>
  <si>
    <t>Детский сад № 12</t>
  </si>
  <si>
    <t>Детский сад № 14</t>
  </si>
  <si>
    <t>Детский сад № 19 "Радость"</t>
  </si>
  <si>
    <t xml:space="preserve">Детский сад № 21 </t>
  </si>
  <si>
    <t>МБУ ДО "ЦДО"</t>
  </si>
  <si>
    <t>Организация отдыха детей и молодежи</t>
  </si>
  <si>
    <t>количество человек (Человек)</t>
  </si>
  <si>
    <t>Организация досуга детей, подростков и молодежи</t>
  </si>
  <si>
    <t>Количество мероприятий (единица)</t>
  </si>
  <si>
    <t>Организация мероприятий в сфере молодежной политики, направленных на формирование системы развития талантливой и иинициативной молодежи, создание условий для сомореализации подросткой и молодежи, развитие творческого, профессионального и интеллектуального потенциала подростков и молодежи</t>
  </si>
  <si>
    <t>Число детей (человек)</t>
  </si>
  <si>
    <t>количество мероприятий/единиц</t>
  </si>
  <si>
    <t>Организация мероприятий в сфере молодежной политики, направленных на вовлечение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</si>
  <si>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МАУ "Ресурсный центр системы образования"</t>
  </si>
  <si>
    <t>Организация проведения общественно- значимых мероприятий в сфере образования, науки и молодежной политики</t>
  </si>
  <si>
    <t>Информационно-технологическое обеспечение управления системой образования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</si>
  <si>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</si>
  <si>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Формирование бюджетной отчестности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</si>
  <si>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количество отчетов, подлежащих своду / единица</t>
  </si>
  <si>
    <t xml:space="preserve">Реализация основных общеобразовательных программ начального общего образования </t>
  </si>
  <si>
    <t>адаптированная образовательная программа, 
обучающиеся с ограниченными возможностями здоровья (ОВЗ),  
очная (1-4 классы)</t>
  </si>
  <si>
    <t>адаптированная образовательная программа, 
обучающиеся с ограниченными возможностями здоровья (ОВЗ), 
проходящие обучение по состоянию здоровья на дому, 
очная (1-4 классы)</t>
  </si>
  <si>
    <t>очная (1-4 классы)</t>
  </si>
  <si>
    <t>проходящие обучение по состоянию здоровья на дому, очная (1-4 классы)</t>
  </si>
  <si>
    <t xml:space="preserve">Реализация основных общеобразовательных программ основного общего образования </t>
  </si>
  <si>
    <t>адаптированная образовательная программа, 
обучающиеся с ограниченными возможностями здоровья (ОВЗ),  
очная (5-9 классы)</t>
  </si>
  <si>
    <t>адаптированная образовательная программа, 
обучающиеся с ограниченными возможностями здоровья (ОВЗ), 
проходящие обучение по состоянию здоровья на дому,  
очная  (5-9 классы)</t>
  </si>
  <si>
    <t>образовательная программа, обеспечивающая углубленное изучение отдельных учебных предметов, предметных областей (профильное обучение),
очная (5-9 классы)</t>
  </si>
  <si>
    <t>очная (5-9 классы)</t>
  </si>
  <si>
    <t>проходящие обучение по состоянию здоровья на дому, 
очная (5-9 классы)</t>
  </si>
  <si>
    <t xml:space="preserve">Реализация основных общеобразовательных программ среднего общего образования </t>
  </si>
  <si>
    <t>адаптированная образовательная программа, 
обучающиеся с ограниченными возможностями здоровья (ОВЗ),  
очная (10-11 классы)</t>
  </si>
  <si>
    <t>адаптированная образовательная программа, 
обучающиеся с ограниченными возможностями здоровья (ОВЗ),  
проходящие обучение по состоянию здоровья на дому, 
очная (10-11 классы)</t>
  </si>
  <si>
    <t>образовательная программа, обеспечивающая углубленное изучение отдельных учебных предметов, предметных областей (профильное обучение), 
очная (10-11 классы)</t>
  </si>
  <si>
    <t>образовательная программа, обеспечивающая углубленное изучение отдельных учебных предметов, предметных областей (профильное обучение),
проходящие обучение по состоянию здоровья на дому, 
очная (10-11 классы)</t>
  </si>
  <si>
    <t>очная (10-11 классы)</t>
  </si>
  <si>
    <t>в каникулярное время с дневным  пребыванием</t>
  </si>
  <si>
    <t>ВСЕГО</t>
  </si>
  <si>
    <t>3.2</t>
  </si>
  <si>
    <t>4.1</t>
  </si>
  <si>
    <t>4.2</t>
  </si>
  <si>
    <t>4.3</t>
  </si>
  <si>
    <t>4.4</t>
  </si>
  <si>
    <t>5.1</t>
  </si>
  <si>
    <t>6.1</t>
  </si>
  <si>
    <t>4.5</t>
  </si>
  <si>
    <t>МБОУ ДО "ДШИ"</t>
  </si>
  <si>
    <t>Реализация дополнительных  предпрофессиональных программ в области искусств</t>
  </si>
  <si>
    <t xml:space="preserve">народные инструменты </t>
  </si>
  <si>
    <t>фортепиано</t>
  </si>
  <si>
    <t>струнные инструменты</t>
  </si>
  <si>
    <t>хореографическое творчество</t>
  </si>
  <si>
    <t>духовые и ударные инструменты</t>
  </si>
  <si>
    <t>живопись</t>
  </si>
  <si>
    <t>МАУ "Культура"</t>
  </si>
  <si>
    <t>Создание экспозиций (выставок) музеев, организация выездных выставок</t>
  </si>
  <si>
    <t>количество экспозиций</t>
  </si>
  <si>
    <t>показатель будет выполнен по итогам года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</si>
  <si>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</si>
  <si>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</si>
  <si>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Организация деятельности клубных формирований и формирований самодеятельности народного творчества</t>
  </si>
  <si>
    <t>количество клубных формирований</t>
  </si>
  <si>
    <t>Предоставление информационной и консультационной поддержки некоммерческим организациям, социально ориентированным некоммерческих организаций и территориальным общественным самоуправлениям</t>
  </si>
  <si>
    <t>МБУ "Газета Знамя"</t>
  </si>
  <si>
    <t>Осуществление издательской деятельности</t>
  </si>
  <si>
    <t>Объем тиража                  (штук газет)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</si>
  <si>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</si>
  <si>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</si>
  <si>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</si>
  <si>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</si>
  <si>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</si>
  <si>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</si>
  <si>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</si>
  <si>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</si>
  <si>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</si>
  <si>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</si>
  <si>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</si>
  <si>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</si>
  <si>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 , культурных  и нравственных ценностей среди молодежи</t>
  </si>
  <si>
    <t>кол-во физических лиц, обратившихся за  услугой</t>
  </si>
  <si>
    <t>кол-во юридических лиц, обратившихся за  услугой</t>
  </si>
  <si>
    <t xml:space="preserve">Информация об исполнении муниципальных заданий муниципальными учреждениями города Урай  (в натуральных  показателях) за 9 месяцев 2021 года                                                                                                                       </t>
  </si>
  <si>
    <t>Исполнено за 9 месяцев 2021 год</t>
  </si>
  <si>
    <t>1.8</t>
  </si>
  <si>
    <t>фигурное катаное на коньках</t>
  </si>
  <si>
    <t>2.5</t>
  </si>
  <si>
    <t>проходящие обучение по состоянию здоровья на дому, очная (5-9 классы)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</si>
  <si>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</si>
  <si>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5.2</t>
  </si>
  <si>
    <t>5.3</t>
  </si>
  <si>
    <t>5.4</t>
  </si>
  <si>
    <t>проходящие обучение по состоянию хдоровья на дому, очная (1-4 классы)</t>
  </si>
  <si>
    <t xml:space="preserve">Информация об исполнении муниципальных заданий муниципальными учреждениями города Урай  (в натуральных  показателях) за 2021 год                                                                                                                </t>
  </si>
  <si>
    <t>авиамодельный спорт</t>
  </si>
  <si>
    <t xml:space="preserve">Увеличение количества детей льготной категрии </t>
  </si>
  <si>
    <t xml:space="preserve">Уменьшение количества детей льготной категрии </t>
  </si>
  <si>
    <t>адаптированная образовательная программа с обучающимися с ограниченными возможностями здоровья (ОВЗ) от 1 года до 3 лет</t>
  </si>
  <si>
    <t>В рамках допустимого отклонения предусмотренного  МЗ</t>
  </si>
  <si>
    <t>Предоставлена справка на льготу</t>
  </si>
  <si>
    <t>Детский сад № 16</t>
  </si>
  <si>
    <t>СВОД по детским садам</t>
  </si>
  <si>
    <t>Организация детей и молодежи (с родительской платой)</t>
  </si>
  <si>
    <t>Количество составленных отчетов (единица)</t>
  </si>
  <si>
    <t>9.</t>
  </si>
  <si>
    <t>2.7</t>
  </si>
  <si>
    <t>3.6</t>
  </si>
  <si>
    <t>3.4</t>
  </si>
  <si>
    <t>4.5.</t>
  </si>
  <si>
    <t>6.1.</t>
  </si>
  <si>
    <t>10.</t>
  </si>
  <si>
    <t>11.</t>
  </si>
  <si>
    <t>12.</t>
  </si>
  <si>
    <t>13.</t>
  </si>
  <si>
    <t>3.7</t>
  </si>
  <si>
    <t>14.</t>
  </si>
  <si>
    <t>Всего по школам Управления образования</t>
  </si>
  <si>
    <t>15.</t>
  </si>
  <si>
    <t>2.3.</t>
  </si>
  <si>
    <t>2.4.</t>
  </si>
  <si>
    <t>16.</t>
  </si>
  <si>
    <t>17.</t>
  </si>
  <si>
    <t>18.</t>
  </si>
  <si>
    <t>19.</t>
  </si>
  <si>
    <t>20.</t>
  </si>
  <si>
    <t>21.</t>
  </si>
  <si>
    <r>
      <t xml:space="preserve">Реализация основных общеобразовательных программ </t>
    </r>
    <r>
      <rPr>
        <b/>
        <sz val="12"/>
        <color rgb="FF00B0F0"/>
        <rFont val="Times New Roman"/>
        <family val="1"/>
        <charset val="204"/>
      </rPr>
      <t>начального</t>
    </r>
    <r>
      <rPr>
        <b/>
        <sz val="12"/>
        <rFont val="Times New Roman"/>
        <family val="1"/>
        <charset val="204"/>
      </rPr>
      <t xml:space="preserve"> общего образования </t>
    </r>
  </si>
  <si>
    <r>
      <rPr>
        <i/>
        <sz val="12"/>
        <color rgb="FF0070C0"/>
        <rFont val="Times New Roman"/>
        <family val="1"/>
        <charset val="204"/>
      </rPr>
      <t xml:space="preserve">очная </t>
    </r>
    <r>
      <rPr>
        <i/>
        <sz val="12"/>
        <rFont val="Times New Roman"/>
        <family val="1"/>
        <charset val="204"/>
      </rPr>
      <t>(1-4 классы)</t>
    </r>
  </si>
  <si>
    <r>
      <t>проходящие обучение по состоянию здоровья</t>
    </r>
    <r>
      <rPr>
        <i/>
        <sz val="12"/>
        <color rgb="FF0070C0"/>
        <rFont val="Times New Roman"/>
        <family val="1"/>
        <charset val="204"/>
      </rPr>
      <t xml:space="preserve"> на дому</t>
    </r>
    <r>
      <rPr>
        <i/>
        <sz val="12"/>
        <rFont val="Times New Roman"/>
        <family val="1"/>
        <charset val="204"/>
      </rPr>
      <t>, очная (1-4 классы)</t>
    </r>
  </si>
  <si>
    <r>
      <t xml:space="preserve">Реализация основных общеобразовательных программ </t>
    </r>
    <r>
      <rPr>
        <b/>
        <sz val="12"/>
        <color rgb="FF00B0F0"/>
        <rFont val="Times New Roman"/>
        <family val="1"/>
        <charset val="204"/>
      </rPr>
      <t>основного</t>
    </r>
    <r>
      <rPr>
        <b/>
        <sz val="12"/>
        <rFont val="Times New Roman"/>
        <family val="1"/>
        <charset val="204"/>
      </rPr>
      <t xml:space="preserve"> общего образования </t>
    </r>
  </si>
  <si>
    <r>
      <rPr>
        <i/>
        <sz val="12"/>
        <color rgb="FF0070C0"/>
        <rFont val="Times New Roman"/>
        <family val="1"/>
        <charset val="204"/>
      </rPr>
      <t>очная (</t>
    </r>
    <r>
      <rPr>
        <i/>
        <sz val="12"/>
        <rFont val="Times New Roman"/>
        <family val="1"/>
        <charset val="204"/>
      </rPr>
      <t>5-9 классы)</t>
    </r>
  </si>
  <si>
    <r>
      <t xml:space="preserve">Реализация основных общеобразовательных программ </t>
    </r>
    <r>
      <rPr>
        <b/>
        <sz val="12"/>
        <color rgb="FF00B0F0"/>
        <rFont val="Times New Roman"/>
        <family val="1"/>
        <charset val="204"/>
      </rPr>
      <t>среднего</t>
    </r>
    <r>
      <rPr>
        <b/>
        <sz val="12"/>
        <rFont val="Times New Roman"/>
        <family val="1"/>
        <charset val="204"/>
      </rPr>
      <t xml:space="preserve"> общего образования </t>
    </r>
  </si>
  <si>
    <r>
      <rPr>
        <i/>
        <sz val="12"/>
        <color rgb="FF0070C0"/>
        <rFont val="Times New Roman"/>
        <family val="1"/>
        <charset val="204"/>
      </rPr>
      <t xml:space="preserve">очная </t>
    </r>
    <r>
      <rPr>
        <i/>
        <sz val="12"/>
        <rFont val="Times New Roman"/>
        <family val="1"/>
        <charset val="204"/>
      </rPr>
      <t>(10-11 классы)</t>
    </r>
  </si>
  <si>
    <t>5.</t>
  </si>
  <si>
    <t>6.</t>
  </si>
  <si>
    <t>7.</t>
  </si>
  <si>
    <t>8.</t>
  </si>
  <si>
    <t>Исполнено за 2021 год</t>
  </si>
  <si>
    <t xml:space="preserve">Информация об исполнении муниципальных заданий муниципальными учреждениями города Урай за 2020 год                                 </t>
  </si>
  <si>
    <t>Объем муниципальных услуг (работ)</t>
  </si>
  <si>
    <t>Объем субсидий на выполнение муниципальных заданий на оказание муниципальных услуг (выполнение работ), тыс.рублей</t>
  </si>
  <si>
    <t>Первоначально утвержденное плановое значение на 2020 год</t>
  </si>
  <si>
    <t xml:space="preserve">Скорректированный план на год               </t>
  </si>
  <si>
    <t>Исполнение               за 2020 год</t>
  </si>
  <si>
    <t>% исполнения</t>
  </si>
  <si>
    <t>1.</t>
  </si>
  <si>
    <t>Муниципальная программа "Культура города Урай" на 2017-2021 годы</t>
  </si>
  <si>
    <t>МБОУ ДОД "ДШИ № 1", "ДШИ № 2"</t>
  </si>
  <si>
    <t>художественная направленность</t>
  </si>
  <si>
    <t>Реализация дополнительных  предпрофессиональных общеобразовательных программ в области искусств</t>
  </si>
  <si>
    <t xml:space="preserve">струнные инструменты </t>
  </si>
  <si>
    <t>2.6</t>
  </si>
  <si>
    <t>Предоставление информационной поддержки некоммерческим организациям, социально ориентированным некоммерческим организациям и территориальным общественным самоуправлениям</t>
  </si>
  <si>
    <t>количество физических лиц, обратившимся за услугой; количество юридических лиц, обратившихся за услугой</t>
  </si>
  <si>
    <t>Муниципальная программа "Развитие физической культуры, спорта и туризма в городе Урай" на 2019-2030годы</t>
  </si>
  <si>
    <t>МАУ ДО ДЮСШ "Старт", МАУ ДО ДЮСШ "Звезды Югры"</t>
  </si>
  <si>
    <t>Проведение занятий физкультурно-спортивной направленности по месту проживания граждан</t>
  </si>
  <si>
    <t>Безвозмездные перечисления государственным и муниципальным организациям (241) (нераспределенные по КОСГУ)</t>
  </si>
  <si>
    <t>Остатки на счетах учреждений</t>
  </si>
  <si>
    <t>3.</t>
  </si>
  <si>
    <t xml:space="preserve"> Муниципальная программа "Информационное общество - Урай" на 2019-2030 годы</t>
  </si>
  <si>
    <t>Объем тиража (штук газет)</t>
  </si>
  <si>
    <t>4.</t>
  </si>
  <si>
    <t>Муниципальная программа "Совершенствование и развитие муниципального управления в городе Урай" на 2018-2030 годы</t>
  </si>
  <si>
    <t>МАУ "МФЦ"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</si>
  <si>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</si>
  <si>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Кол-во услуг </t>
  </si>
  <si>
    <t>Муниципальная программа "Развитие образования и молодежной политики в городе Урай" на 2019-2030 годы</t>
  </si>
  <si>
    <t>Свод по школам:</t>
  </si>
  <si>
    <t>адаптированная образовательная программа, 
обучающиеся с ограниченными возможностями здоровья (ОВЗ), 
проходящие обучение по состоянию здоровья на дому, 
очная с применением дистанционных образовательных технологий (1-4 классы)</t>
  </si>
  <si>
    <t>адаптированная образовательная программа для детей с умственной отсталостью, обучающиеся с ограниченными возможностями здоровья (ОВЗ),  очная (1-4 классы)</t>
  </si>
  <si>
    <t>очная, 
проходящие обучение по состоянию здоровья на дому, 
очная (1-4 классы)</t>
  </si>
  <si>
    <t>адаптированная образовательная программа, 
обучающиеся с ограниченными возможностями здоровья (ОВЗ)
приходящие обучение по состоянию здоровья на дому, 
очная (5-9 классы)</t>
  </si>
  <si>
    <t>очная с применением дистанционных образовательных технологий (5-9 классы)</t>
  </si>
  <si>
    <t>очная, 
проходящие обучение по состоянию здоровья на дому, 
очная (5-9 классы)</t>
  </si>
  <si>
    <t>адаптированная образовательная программа, 
обучающиеся с ограниченными возможностями здоровья (ОВЗ), 
проходящие обучение по состоянию здоровья на дому,  
с применением дистанционных образовательных технологий ,
очная  (5-9 классы)</t>
  </si>
  <si>
    <t>проходящие обучение по состоянию здоровья на дому, 
очная с применением дистанционных образовательных технологий (5-9 классы)</t>
  </si>
  <si>
    <t>обеспечивающая углубленное изучение отдельных учебных предметов, предметных областей (профильное обучение), 
проходящие обучение по состоянию здоровья на дому, 
очная (10-11 классы)</t>
  </si>
  <si>
    <t>обеспечивающая углубленное изучение отдельных учебных предметов, предметных областей (профильное обучение), 
очная (10-11 классы)</t>
  </si>
  <si>
    <t>обеспечивающая углубленное изучение отдельных учебных предметов, предметных областей (профильное обучение),проходящие обучение по состоянию здоровья на дому(10-11 классы)</t>
  </si>
  <si>
    <t>3.5</t>
  </si>
  <si>
    <t>проходящие обучение по состоянию здоровья на дому, 
очная (10-11 классы)</t>
  </si>
  <si>
    <t>льготная категория (Закон ХМАО-Югры от 30.01.2016 №4-оз)</t>
  </si>
  <si>
    <t>льготная категория (на дому) (Постановление от 04.03.2016 №59-п)</t>
  </si>
  <si>
    <t>не льготная категория (Постановление администрации города Урай от 28.021.2020 №150)</t>
  </si>
  <si>
    <t>категория обучающихся в начальных классов с 1 по 4 (Постановление от 04.03.2016 №59-п, Постановление администрации города Урай от 28.021.2020 №150)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</si>
  <si>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</si>
  <si>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Свод по детским садам:</t>
  </si>
  <si>
    <t>Физические лица за исключением льготной категории</t>
  </si>
  <si>
    <t>МБУ ДО "ЦМДО"</t>
  </si>
  <si>
    <t>количество мероприятий/человек</t>
  </si>
  <si>
    <t>МАУ "Ресурсный центр системы образоания"</t>
  </si>
  <si>
    <t>Организация отдыха детей и молодежи в каникулярное время с круглосуточным пребыванием детей</t>
  </si>
  <si>
    <t>штук</t>
  </si>
  <si>
    <t>Научно-методическое обеспечение</t>
  </si>
  <si>
    <t>количество</t>
  </si>
  <si>
    <t>единиц</t>
  </si>
  <si>
    <t>Муниципальные учреждения дополнительного образования детей</t>
  </si>
  <si>
    <t xml:space="preserve">Организация отдыха детей и молодежи в каникулярное время с дневным пребыванием </t>
  </si>
  <si>
    <t xml:space="preserve">Итого: </t>
  </si>
  <si>
    <r>
      <t xml:space="preserve">образовательная программа, обеспечивающая </t>
    </r>
    <r>
      <rPr>
        <i/>
        <sz val="12"/>
        <color rgb="FF0070C0"/>
        <rFont val="Times New Roman"/>
        <family val="1"/>
        <charset val="204"/>
      </rPr>
      <t>углубленное изучение</t>
    </r>
    <r>
      <rPr>
        <i/>
        <sz val="12"/>
        <rFont val="Times New Roman"/>
        <family val="1"/>
        <charset val="204"/>
      </rPr>
      <t xml:space="preserve"> отдельных учебных предметов, предметных областей (профильное обучение), проходящие обучение по состоянию здоровья </t>
    </r>
    <r>
      <rPr>
        <i/>
        <sz val="12"/>
        <color rgb="FF0070C0"/>
        <rFont val="Times New Roman"/>
        <family val="1"/>
        <charset val="204"/>
      </rPr>
      <t>на дому</t>
    </r>
    <r>
      <rPr>
        <i/>
        <sz val="12"/>
        <rFont val="Times New Roman"/>
        <family val="1"/>
        <charset val="204"/>
      </rPr>
      <t>, очная (10-11 классы)</t>
    </r>
  </si>
  <si>
    <r>
      <t xml:space="preserve">образовательная программа, обеспечивающая </t>
    </r>
    <r>
      <rPr>
        <i/>
        <sz val="12"/>
        <color rgb="FF0070C0"/>
        <rFont val="Times New Roman"/>
        <family val="1"/>
        <charset val="204"/>
      </rPr>
      <t>углубленное</t>
    </r>
    <r>
      <rPr>
        <i/>
        <sz val="12"/>
        <rFont val="Times New Roman"/>
        <family val="1"/>
        <charset val="204"/>
      </rPr>
      <t xml:space="preserve"> изучение отдельных учебных предметов, предметных областей (профильное обучение), </t>
    </r>
    <r>
      <rPr>
        <i/>
        <sz val="12"/>
        <color rgb="FF0070C0"/>
        <rFont val="Times New Roman"/>
        <family val="1"/>
        <charset val="204"/>
      </rPr>
      <t>очная (</t>
    </r>
    <r>
      <rPr>
        <i/>
        <sz val="12"/>
        <rFont val="Times New Roman"/>
        <family val="1"/>
        <charset val="204"/>
      </rPr>
      <t>10-11 классы)</t>
    </r>
  </si>
  <si>
    <r>
      <rPr>
        <i/>
        <sz val="12"/>
        <color rgb="FF0070C0"/>
        <rFont val="Times New Roman"/>
        <family val="1"/>
        <charset val="204"/>
      </rPr>
      <t>адаптированная</t>
    </r>
    <r>
      <rPr>
        <i/>
        <sz val="12"/>
        <rFont val="Times New Roman"/>
        <family val="1"/>
        <charset val="204"/>
      </rPr>
      <t xml:space="preserve"> образовательная программа, обучающиеся с ограниченными возможностями здоровья </t>
    </r>
    <r>
      <rPr>
        <i/>
        <sz val="12"/>
        <color rgb="FF0070C0"/>
        <rFont val="Times New Roman"/>
        <family val="1"/>
        <charset val="204"/>
      </rPr>
      <t>(ОВЗ)</t>
    </r>
    <r>
      <rPr>
        <i/>
        <sz val="12"/>
        <rFont val="Times New Roman"/>
        <family val="1"/>
        <charset val="204"/>
      </rPr>
      <t>,  очная (10-11 классы)</t>
    </r>
  </si>
  <si>
    <r>
      <rPr>
        <i/>
        <sz val="12"/>
        <color rgb="FF0070C0"/>
        <rFont val="Times New Roman"/>
        <family val="1"/>
        <charset val="204"/>
      </rPr>
      <t>адаптированная</t>
    </r>
    <r>
      <rPr>
        <i/>
        <sz val="12"/>
        <rFont val="Times New Roman"/>
        <family val="1"/>
        <charset val="204"/>
      </rPr>
      <t xml:space="preserve"> образовательная программа, обучающиеся с ограниченными возможностями здоровья </t>
    </r>
    <r>
      <rPr>
        <i/>
        <sz val="12"/>
        <color rgb="FF0070C0"/>
        <rFont val="Times New Roman"/>
        <family val="1"/>
        <charset val="204"/>
      </rPr>
      <t>(ОВЗ)</t>
    </r>
    <r>
      <rPr>
        <i/>
        <sz val="12"/>
        <rFont val="Times New Roman"/>
        <family val="1"/>
        <charset val="204"/>
      </rPr>
      <t xml:space="preserve">,  проходящие обучение по состоянию здоровья </t>
    </r>
    <r>
      <rPr>
        <i/>
        <sz val="12"/>
        <color rgb="FF0070C0"/>
        <rFont val="Times New Roman"/>
        <family val="1"/>
        <charset val="204"/>
      </rPr>
      <t>на дому</t>
    </r>
    <r>
      <rPr>
        <i/>
        <sz val="12"/>
        <rFont val="Times New Roman"/>
        <family val="1"/>
        <charset val="204"/>
      </rPr>
      <t>, очная (10-11 классы)</t>
    </r>
  </si>
  <si>
    <r>
      <rPr>
        <i/>
        <sz val="12"/>
        <color rgb="FF0070C0"/>
        <rFont val="Times New Roman"/>
        <family val="1"/>
        <charset val="204"/>
      </rPr>
      <t>адаптированная</t>
    </r>
    <r>
      <rPr>
        <i/>
        <sz val="12"/>
        <rFont val="Times New Roman"/>
        <family val="1"/>
        <charset val="204"/>
      </rPr>
      <t xml:space="preserve"> образовательная программа, обучающиеся с ограниченными возможностями здоровья (</t>
    </r>
    <r>
      <rPr>
        <i/>
        <sz val="12"/>
        <color rgb="FF0070C0"/>
        <rFont val="Times New Roman"/>
        <family val="1"/>
        <charset val="204"/>
      </rPr>
      <t>ОВЗ</t>
    </r>
    <r>
      <rPr>
        <i/>
        <sz val="12"/>
        <rFont val="Times New Roman"/>
        <family val="1"/>
        <charset val="204"/>
      </rPr>
      <t>),  очная (1-4 классы)</t>
    </r>
  </si>
  <si>
    <r>
      <rPr>
        <i/>
        <sz val="12"/>
        <color rgb="FF0070C0"/>
        <rFont val="Times New Roman"/>
        <family val="1"/>
        <charset val="204"/>
      </rPr>
      <t>адаптированная</t>
    </r>
    <r>
      <rPr>
        <i/>
        <sz val="12"/>
        <rFont val="Times New Roman"/>
        <family val="1"/>
        <charset val="204"/>
      </rPr>
      <t xml:space="preserve"> образовательная программа, обучающиеся с ограниченными возможностями здоровья (</t>
    </r>
    <r>
      <rPr>
        <i/>
        <sz val="12"/>
        <color rgb="FF0070C0"/>
        <rFont val="Times New Roman"/>
        <family val="1"/>
        <charset val="204"/>
      </rPr>
      <t>ОВЗ)</t>
    </r>
    <r>
      <rPr>
        <i/>
        <sz val="12"/>
        <rFont val="Times New Roman"/>
        <family val="1"/>
        <charset val="204"/>
      </rPr>
      <t xml:space="preserve">, проходящие обучение по состоянию здоровья на </t>
    </r>
    <r>
      <rPr>
        <i/>
        <sz val="12"/>
        <color rgb="FF0070C0"/>
        <rFont val="Times New Roman"/>
        <family val="1"/>
        <charset val="204"/>
      </rPr>
      <t>дому</t>
    </r>
    <r>
      <rPr>
        <i/>
        <sz val="12"/>
        <rFont val="Times New Roman"/>
        <family val="1"/>
        <charset val="204"/>
      </rPr>
      <t>, очная (1-4 классы)</t>
    </r>
  </si>
  <si>
    <r>
      <rPr>
        <i/>
        <sz val="12"/>
        <color rgb="FF0070C0"/>
        <rFont val="Times New Roman"/>
        <family val="1"/>
        <charset val="204"/>
      </rPr>
      <t>адаптированная</t>
    </r>
    <r>
      <rPr>
        <i/>
        <sz val="12"/>
        <rFont val="Times New Roman"/>
        <family val="1"/>
        <charset val="204"/>
      </rPr>
      <t xml:space="preserve"> образовательная программа, обучающиеся с ограниченными возможностями здоровья </t>
    </r>
    <r>
      <rPr>
        <i/>
        <sz val="12"/>
        <color rgb="FF0070C0"/>
        <rFont val="Times New Roman"/>
        <family val="1"/>
        <charset val="204"/>
      </rPr>
      <t>(ОВЗ)</t>
    </r>
    <r>
      <rPr>
        <i/>
        <sz val="12"/>
        <rFont val="Times New Roman"/>
        <family val="1"/>
        <charset val="204"/>
      </rPr>
      <t>,  очная (5-9 классы)</t>
    </r>
  </si>
  <si>
    <r>
      <rPr>
        <i/>
        <sz val="12"/>
        <color rgb="FF0070C0"/>
        <rFont val="Times New Roman"/>
        <family val="1"/>
        <charset val="204"/>
      </rPr>
      <t>адаптированная</t>
    </r>
    <r>
      <rPr>
        <i/>
        <sz val="12"/>
        <rFont val="Times New Roman"/>
        <family val="1"/>
        <charset val="204"/>
      </rPr>
      <t xml:space="preserve"> образовательная программа, обучающиеся с ограниченными возможностями здоровья </t>
    </r>
    <r>
      <rPr>
        <i/>
        <sz val="12"/>
        <color rgb="FF0070C0"/>
        <rFont val="Times New Roman"/>
        <family val="1"/>
        <charset val="204"/>
      </rPr>
      <t>(ОВЗ)</t>
    </r>
    <r>
      <rPr>
        <i/>
        <sz val="12"/>
        <rFont val="Times New Roman"/>
        <family val="1"/>
        <charset val="204"/>
      </rPr>
      <t xml:space="preserve">, проходящие обучение по состоянию здоровья </t>
    </r>
    <r>
      <rPr>
        <i/>
        <sz val="12"/>
        <color rgb="FF0070C0"/>
        <rFont val="Times New Roman"/>
        <family val="1"/>
        <charset val="204"/>
      </rPr>
      <t>на дому</t>
    </r>
    <r>
      <rPr>
        <i/>
        <sz val="12"/>
        <rFont val="Times New Roman"/>
        <family val="1"/>
        <charset val="204"/>
      </rPr>
      <t>,  очная  (5-9 классы)</t>
    </r>
  </si>
  <si>
    <r>
      <t xml:space="preserve">образовательная программа, обеспечивающая </t>
    </r>
    <r>
      <rPr>
        <i/>
        <sz val="12"/>
        <color rgb="FF0070C0"/>
        <rFont val="Times New Roman"/>
        <family val="1"/>
        <charset val="204"/>
      </rPr>
      <t>углубленное</t>
    </r>
    <r>
      <rPr>
        <i/>
        <sz val="12"/>
        <rFont val="Times New Roman"/>
        <family val="1"/>
        <charset val="204"/>
      </rPr>
      <t xml:space="preserve"> изучение отдельных учебных предметов, предметных областей (профильное обучение),очная (5-9 классы)</t>
    </r>
  </si>
  <si>
    <r>
      <t>проходящие обучение по состоянию здоровья</t>
    </r>
    <r>
      <rPr>
        <i/>
        <sz val="12"/>
        <color rgb="FF0070C0"/>
        <rFont val="Times New Roman"/>
        <family val="1"/>
        <charset val="204"/>
      </rPr>
      <t xml:space="preserve"> на дому,</t>
    </r>
    <r>
      <rPr>
        <i/>
        <sz val="12"/>
        <rFont val="Times New Roman"/>
        <family val="1"/>
        <charset val="204"/>
      </rPr>
      <t xml:space="preserve"> очная (5-9 классы)</t>
    </r>
  </si>
  <si>
    <t>убрать в образование после предостав. Полной информ.</t>
  </si>
  <si>
    <t>Первоначально утвержденное плановое значение на 2021 год</t>
  </si>
  <si>
    <t xml:space="preserve">Информация об исполнении муниципальных заданий муниципальными учреждениями города Урай за 2021 год                                 </t>
  </si>
  <si>
    <t>Исполнение               за 2021 год</t>
  </si>
  <si>
    <t>МБУ ДО "ДШИ"</t>
  </si>
  <si>
    <t xml:space="preserve">количество человеко-часов (человеко-час)  </t>
  </si>
  <si>
    <t>число лиц, прошедших спортивную подготовку на этапах спортивной подготовки (человек)</t>
  </si>
  <si>
    <t>количество человек (человек)</t>
  </si>
  <si>
    <t>количество мероприятий (штука)</t>
  </si>
  <si>
    <t>количество спортивно-массовых и физкультурно-оздоровительных мероприятий (единица)</t>
  </si>
  <si>
    <t>Организация отдыха детей и молодежи с круглосуточным пребыванием детей</t>
  </si>
  <si>
    <t>Организация отдыха детей и молодёжи в каникулярное время с дневным  пребыванием ДШИ</t>
  </si>
  <si>
    <t>Организация отдыха детей и молодёжи в каникулярное время с дневным  пребыванием СПОРТ</t>
  </si>
  <si>
    <t>Организация отдыха детей и молодежи в каникулярное время с дневным  пребыванием</t>
  </si>
  <si>
    <t>Ро</t>
  </si>
  <si>
    <t>0401 Уо</t>
  </si>
  <si>
    <t>нераспр</t>
  </si>
  <si>
    <t>план+ касса</t>
  </si>
  <si>
    <t>число промежуточных аттестаций</t>
  </si>
  <si>
    <t>адаптированная образовательная программа, обучающиеся с ограниченными возможностями здоровья (ОВЗ),  очная (1-4 классы)</t>
  </si>
  <si>
    <t>адаптированная образовательная программа, обучающиеся с ограниченными возможностями здоровья (ОВЗ), проходящие обучение по состоянию здоровья на дому, очная (1-4 классы)</t>
  </si>
  <si>
    <t>адаптированная образовательная программа, обучающиеся с ограниченными возможностями здоровья (ОВЗ),  очная (5-9 классы)</t>
  </si>
  <si>
    <t>адаптированная образовательная программа, обучающиеся с ограниченными возможностями здоровья (ОВЗ), проходящие обучение по состоянию здоровья на дому,  очная  (5-9 классы)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</si>
  <si>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 (5-9 классы)</t>
  </si>
  <si>
    <t>адаптированная образовательная программа, обучающиеся с ограниченными возможностями здоровья (ОВЗ),  очная (10-11 классы)</t>
  </si>
  <si>
    <t>адаптированная образовательная программа, обучающиеся с ограниченными возможностями здоровья (ОВЗ),  проходящие обучение по состоянию здоровья на дому, очная (10-11 классы)</t>
  </si>
  <si>
    <t>образовательная программа, обеспечивающая углубленное изучение отдельных учебных предметов, предметных областей (профильное обучение), очная (10-11 классы)</t>
  </si>
  <si>
    <t>образовательная программа, обеспечивающая углубленное изучение отдельных учебных предметов, предметных областей (профильное обучение), проходящие обучение по состоянию здоровья на дому, очная (10-11 классы)</t>
  </si>
  <si>
    <t>Численность обучающихся , получающих двухразовое питание, родители которых заключили договоры об организации питания (Постановление администрации города Урай от 28.01.2019 №150)</t>
  </si>
  <si>
    <t xml:space="preserve">Организация отдыха детей и молодёжи в каникулярное время с дневным  пребыванием </t>
  </si>
  <si>
    <t>все МЗ</t>
  </si>
  <si>
    <t>отклонение</t>
  </si>
  <si>
    <t>Л. В. Решение -</t>
  </si>
  <si>
    <t>занятость в программу РО</t>
  </si>
  <si>
    <t>Первоначально утвержденное плановое значение на 2022 год</t>
  </si>
  <si>
    <t>Исполнение               за 2022 год</t>
  </si>
  <si>
    <t xml:space="preserve">Информация об исполнении муниципальных заданий муниципальными учреждениями города Урай за 2022 год                                 </t>
  </si>
  <si>
    <t xml:space="preserve">Информация об исполнении муниципальных заданий муниципальными учреждениями города Урай  (в натуральных  показателях) за 2022 год                                                                                                                </t>
  </si>
  <si>
    <t xml:space="preserve">Утверждённый план на 2022 год               </t>
  </si>
  <si>
    <t>Исполнено за 2022 год</t>
  </si>
  <si>
    <t xml:space="preserve">Муниципальная программа "Культура города Урай" </t>
  </si>
  <si>
    <t>40</t>
  </si>
  <si>
    <t>39500</t>
  </si>
  <si>
    <t>23</t>
  </si>
  <si>
    <t>25</t>
  </si>
  <si>
    <t>Объем тиража  (штук газет)</t>
  </si>
  <si>
    <t>Муниципальная программа "Развитие физической культуры, спорта и туризма в городе Урай и укрепление здоровья граждан города Урай" на 2019-2030годы</t>
  </si>
  <si>
    <t>шахматы</t>
  </si>
  <si>
    <t>количество испытаной (тестов) (штука)</t>
  </si>
  <si>
    <t>программа развитие+ занятость УО</t>
  </si>
  <si>
    <t>отклонение РО</t>
  </si>
  <si>
    <t>Исполнено за 2023 год</t>
  </si>
  <si>
    <t>Исполнение               за 2023 год</t>
  </si>
  <si>
    <t>Реализация дополнительных общеобразоватльных программ  (техническое направление)</t>
  </si>
  <si>
    <t>Количество человеко - часов</t>
  </si>
  <si>
    <t>Реализация дополнительных общеобразоватльных программ (естественно- научное направление)</t>
  </si>
  <si>
    <t>Реализация дополнительных общеобразоватльных программ (художественное  направление)</t>
  </si>
  <si>
    <t>Реализация дополнительных общеобразоватльных программ (социально-гуманитарное  направление)</t>
  </si>
  <si>
    <t>Количество человек</t>
  </si>
  <si>
    <t>Организация отдыха детей и молодежи (в каникулярный период времени с круглосуточным пребыванием детей)</t>
  </si>
  <si>
    <t>МАУ МП "ЦМиГИ"</t>
  </si>
  <si>
    <t>Количество проведенных консультаций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</si>
  <si>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</si>
  <si>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мероприятий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</si>
  <si>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</si>
  <si>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кол-во физических и юридических лиц, обратившихся за  услугой</t>
  </si>
  <si>
    <t>МАУ  "СШ "Старт" (до 17.07.2023)</t>
  </si>
  <si>
    <t>количество занятий</t>
  </si>
  <si>
    <t>количество тестируемых</t>
  </si>
  <si>
    <t>МАУ ДО "СШ "Старт" (с 17.07.2023)</t>
  </si>
  <si>
    <t>Реализация дополнительных программ спортивной подготовки по олимпийским видам спорта</t>
  </si>
  <si>
    <t>фигурное катание на коньках</t>
  </si>
  <si>
    <t>количество человеко-часов</t>
  </si>
  <si>
    <t>3.1.</t>
  </si>
  <si>
    <t>3.2.</t>
  </si>
  <si>
    <t>Реализация дополнительный общеразвивающих программ (Спорт, соц. сертификат)</t>
  </si>
  <si>
    <t>4.6</t>
  </si>
  <si>
    <t>4.7</t>
  </si>
  <si>
    <t>нераспред</t>
  </si>
  <si>
    <t xml:space="preserve"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</si>
  <si>
    <t>Первоначально утвержденный план на 2023 год  (Решение Думы г.Урай от 25.11.2022 №125)</t>
  </si>
  <si>
    <t>Уточненный план на 2023 год</t>
  </si>
</sst>
</file>

<file path=xl/styles.xml><?xml version="1.0" encoding="utf-8"?>
<styleSheet xmlns="http://schemas.openxmlformats.org/spreadsheetml/2006/main">
  <numFmts count="20">
    <numFmt numFmtId="41" formatCode="_-* #,##0\ _₽_-;\-* #,##0\ _₽_-;_-* &quot;-&quot;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_-* #,##0.0_р_._-;\-* #,##0.0_р_._-;_-* &quot;-&quot;?_р_._-;_-@_-"/>
    <numFmt numFmtId="168" formatCode="_(* #,##0_);_(* \(#,##0\);_(* &quot;-&quot;??_);_(@_)"/>
    <numFmt numFmtId="169" formatCode="#,##0_ ;\-#,##0\ "/>
    <numFmt numFmtId="170" formatCode="_-* #,##0_р_._-;\-* #,##0_р_._-;_-* &quot;-&quot;?_р_._-;_-@_-"/>
    <numFmt numFmtId="171" formatCode="0.00_ ;[Red]\-0.00\ "/>
    <numFmt numFmtId="172" formatCode="_-* #,##0.0\ _₽_-;\-* #,##0.0\ _₽_-;_-* &quot;-&quot;\ _₽_-;_-@_-"/>
    <numFmt numFmtId="173" formatCode="#,##0.0"/>
    <numFmt numFmtId="174" formatCode="#,##0\ _₽"/>
    <numFmt numFmtId="175" formatCode="#,##0.0_ ;\-#,##0.0\ "/>
    <numFmt numFmtId="176" formatCode="_-* #,##0\ _₽_-;\-* #,##0\ _₽_-;_-* &quot;-&quot;?\ _₽_-;_-@_-"/>
    <numFmt numFmtId="177" formatCode="_-* #,##0.0\ _₽_-;\-* #,##0.0\ _₽_-;_-* &quot;-&quot;?\ _₽_-;_-@_-"/>
    <numFmt numFmtId="178" formatCode="_-* #,##0.000_р_._-;\-* #,##0.000_р_._-;_-* &quot;-&quot;?_р_._-;_-@_-"/>
    <numFmt numFmtId="179" formatCode="_-* #,##0.00000_р_._-;\-* #,##0.00000_р_._-;_-* &quot;-&quot;???_р_._-;_-@_-"/>
    <numFmt numFmtId="180" formatCode="000000"/>
    <numFmt numFmtId="181" formatCode="_-* #,##0\ _₽_-;\-* #,##0\ _₽_-;_-* &quot;-&quot;??\ _₽_-;_-@_-"/>
    <numFmt numFmtId="183" formatCode="_-* #,##0.0\ _₽_-;\-* #,##0.0\ _₽_-;_-* &quot;-&quot;??\ _₽_-;_-@_-"/>
  </numFmts>
  <fonts count="7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i/>
      <sz val="11"/>
      <color rgb="FF0066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" fillId="0" borderId="0"/>
  </cellStyleXfs>
  <cellXfs count="933">
    <xf numFmtId="0" fontId="0" fillId="0" borderId="0" xfId="0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 shrinkToFit="1"/>
    </xf>
    <xf numFmtId="166" fontId="3" fillId="2" borderId="1" xfId="1" applyNumberFormat="1" applyFont="1" applyFill="1" applyBorder="1" applyAlignment="1">
      <alignment horizontal="center"/>
    </xf>
    <xf numFmtId="41" fontId="3" fillId="2" borderId="1" xfId="1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 wrapText="1" shrinkToFit="1"/>
    </xf>
    <xf numFmtId="41" fontId="4" fillId="2" borderId="1" xfId="1" applyNumberFormat="1" applyFont="1" applyFill="1" applyBorder="1"/>
    <xf numFmtId="0" fontId="3" fillId="2" borderId="1" xfId="0" applyFont="1" applyFill="1" applyBorder="1" applyAlignment="1">
      <alignment vertical="center" wrapText="1"/>
    </xf>
    <xf numFmtId="166" fontId="3" fillId="2" borderId="1" xfId="1" applyNumberFormat="1" applyFont="1" applyFill="1" applyBorder="1"/>
    <xf numFmtId="166" fontId="4" fillId="2" borderId="1" xfId="1" applyNumberFormat="1" applyFont="1" applyFill="1" applyBorder="1"/>
    <xf numFmtId="0" fontId="3" fillId="0" borderId="0" xfId="0" applyFont="1" applyFill="1"/>
    <xf numFmtId="0" fontId="6" fillId="0" borderId="0" xfId="0" applyFont="1" applyFill="1"/>
    <xf numFmtId="49" fontId="5" fillId="3" borderId="1" xfId="0" applyNumberFormat="1" applyFont="1" applyFill="1" applyBorder="1" applyAlignment="1">
      <alignment horizontal="left" wrapText="1" shrinkToFit="1"/>
    </xf>
    <xf numFmtId="41" fontId="5" fillId="3" borderId="1" xfId="1" applyNumberFormat="1" applyFont="1" applyFill="1" applyBorder="1"/>
    <xf numFmtId="166" fontId="5" fillId="3" borderId="1" xfId="1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vertical="center"/>
    </xf>
    <xf numFmtId="0" fontId="5" fillId="2" borderId="0" xfId="0" applyFont="1" applyFill="1"/>
    <xf numFmtId="0" fontId="3" fillId="2" borderId="0" xfId="0" applyFont="1" applyFill="1"/>
    <xf numFmtId="166" fontId="3" fillId="2" borderId="0" xfId="1" applyNumberFormat="1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1" fontId="4" fillId="2" borderId="1" xfId="0" applyNumberFormat="1" applyFont="1" applyFill="1" applyBorder="1" applyAlignment="1">
      <alignment wrapText="1"/>
    </xf>
    <xf numFmtId="166" fontId="4" fillId="2" borderId="1" xfId="1" applyNumberFormat="1" applyFont="1" applyFill="1" applyBorder="1" applyAlignment="1"/>
    <xf numFmtId="0" fontId="4" fillId="2" borderId="1" xfId="0" applyNumberFormat="1" applyFont="1" applyFill="1" applyBorder="1" applyAlignment="1">
      <alignment vertical="center" wrapText="1" shrinkToFit="1"/>
    </xf>
    <xf numFmtId="41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right" wrapText="1" shrinkToFit="1"/>
    </xf>
    <xf numFmtId="16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9" fontId="3" fillId="2" borderId="1" xfId="0" applyNumberFormat="1" applyFont="1" applyFill="1" applyBorder="1" applyAlignment="1">
      <alignment horizontal="center" wrapText="1"/>
    </xf>
    <xf numFmtId="41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/>
    </xf>
    <xf numFmtId="41" fontId="3" fillId="2" borderId="0" xfId="1" applyNumberFormat="1" applyFont="1" applyFill="1" applyBorder="1"/>
    <xf numFmtId="167" fontId="3" fillId="2" borderId="0" xfId="1" applyNumberFormat="1" applyFont="1" applyFill="1" applyBorder="1"/>
    <xf numFmtId="0" fontId="4" fillId="2" borderId="0" xfId="0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166" fontId="3" fillId="2" borderId="1" xfId="1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166" fontId="5" fillId="3" borderId="1" xfId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3" borderId="1" xfId="0" applyFont="1" applyFill="1" applyBorder="1" applyAlignment="1">
      <alignment horizontal="left" vertical="center" wrapText="1" shrinkToFit="1"/>
    </xf>
    <xf numFmtId="41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 shrinkToFit="1"/>
    </xf>
    <xf numFmtId="166" fontId="3" fillId="2" borderId="1" xfId="1" applyNumberFormat="1" applyFont="1" applyFill="1" applyBorder="1" applyAlignment="1"/>
    <xf numFmtId="41" fontId="3" fillId="2" borderId="0" xfId="0" applyNumberFormat="1" applyFont="1" applyFill="1"/>
    <xf numFmtId="49" fontId="3" fillId="2" borderId="0" xfId="0" applyNumberFormat="1" applyFont="1" applyFill="1" applyAlignment="1">
      <alignment horizontal="center" vertical="center"/>
    </xf>
    <xf numFmtId="4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66" fontId="5" fillId="3" borderId="1" xfId="1" applyNumberFormat="1" applyFont="1" applyFill="1" applyBorder="1" applyAlignment="1"/>
    <xf numFmtId="0" fontId="3" fillId="2" borderId="1" xfId="0" quotePrefix="1" applyFont="1" applyFill="1" applyBorder="1" applyAlignment="1">
      <alignment horizontal="right" vertical="center" wrapText="1" shrinkToFit="1"/>
    </xf>
    <xf numFmtId="0" fontId="3" fillId="2" borderId="1" xfId="0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168" fontId="5" fillId="3" borderId="1" xfId="1" applyNumberFormat="1" applyFont="1" applyFill="1" applyBorder="1"/>
    <xf numFmtId="168" fontId="3" fillId="2" borderId="1" xfId="1" applyNumberFormat="1" applyFont="1" applyFill="1" applyBorder="1" applyAlignment="1">
      <alignment vertical="center"/>
    </xf>
    <xf numFmtId="168" fontId="3" fillId="2" borderId="1" xfId="1" applyNumberFormat="1" applyFont="1" applyFill="1" applyBorder="1"/>
    <xf numFmtId="49" fontId="3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wrapText="1" shrinkToFit="1"/>
    </xf>
    <xf numFmtId="166" fontId="3" fillId="0" borderId="1" xfId="1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166" fontId="3" fillId="0" borderId="1" xfId="1" applyNumberFormat="1" applyFont="1" applyFill="1" applyBorder="1" applyAlignment="1">
      <alignment vertical="center"/>
    </xf>
    <xf numFmtId="170" fontId="5" fillId="3" borderId="1" xfId="1" applyNumberFormat="1" applyFont="1" applyFill="1" applyBorder="1"/>
    <xf numFmtId="170" fontId="3" fillId="3" borderId="1" xfId="0" applyNumberFormat="1" applyFont="1" applyFill="1" applyBorder="1" applyAlignment="1">
      <alignment horizontal="left" wrapText="1" shrinkToFit="1"/>
    </xf>
    <xf numFmtId="41" fontId="5" fillId="3" borderId="1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left" wrapText="1" shrinkToFit="1"/>
    </xf>
    <xf numFmtId="170" fontId="5" fillId="3" borderId="4" xfId="1" applyNumberFormat="1" applyFont="1" applyFill="1" applyBorder="1"/>
    <xf numFmtId="166" fontId="5" fillId="3" borderId="4" xfId="1" applyNumberFormat="1" applyFont="1" applyFill="1" applyBorder="1"/>
    <xf numFmtId="170" fontId="3" fillId="3" borderId="4" xfId="0" applyNumberFormat="1" applyFont="1" applyFill="1" applyBorder="1" applyAlignment="1">
      <alignment wrapText="1"/>
    </xf>
    <xf numFmtId="166" fontId="8" fillId="2" borderId="1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/>
    </xf>
    <xf numFmtId="166" fontId="8" fillId="2" borderId="3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6" fontId="9" fillId="3" borderId="1" xfId="1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left" wrapText="1" shrinkToFit="1"/>
    </xf>
    <xf numFmtId="49" fontId="8" fillId="3" borderId="1" xfId="0" applyNumberFormat="1" applyFont="1" applyFill="1" applyBorder="1" applyAlignment="1">
      <alignment horizontal="left" wrapText="1" shrinkToFit="1"/>
    </xf>
    <xf numFmtId="168" fontId="9" fillId="3" borderId="1" xfId="1" applyNumberFormat="1" applyFont="1" applyFill="1" applyBorder="1" applyAlignment="1">
      <alignment horizontal="center" vertical="center"/>
    </xf>
    <xf numFmtId="41" fontId="9" fillId="3" borderId="1" xfId="1" applyNumberFormat="1" applyFont="1" applyFill="1" applyBorder="1"/>
    <xf numFmtId="166" fontId="9" fillId="3" borderId="1" xfId="1" applyNumberFormat="1" applyFont="1" applyFill="1" applyBorder="1"/>
    <xf numFmtId="0" fontId="9" fillId="3" borderId="1" xfId="0" applyFont="1" applyFill="1" applyBorder="1"/>
    <xf numFmtId="0" fontId="8" fillId="2" borderId="0" xfId="0" applyFont="1" applyFill="1"/>
    <xf numFmtId="49" fontId="8" fillId="0" borderId="1" xfId="0" applyNumberFormat="1" applyFont="1" applyFill="1" applyBorder="1" applyAlignment="1">
      <alignment horizontal="center" wrapText="1" shrinkToFit="1"/>
    </xf>
    <xf numFmtId="49" fontId="5" fillId="3" borderId="4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1" fontId="4" fillId="2" borderId="1" xfId="1" applyNumberFormat="1" applyFont="1" applyFill="1" applyBorder="1" applyAlignment="1">
      <alignment horizontal="left"/>
    </xf>
    <xf numFmtId="166" fontId="4" fillId="2" borderId="1" xfId="1" applyNumberFormat="1" applyFont="1" applyFill="1" applyBorder="1" applyAlignment="1">
      <alignment horizontal="left"/>
    </xf>
    <xf numFmtId="41" fontId="3" fillId="2" borderId="1" xfId="1" applyNumberFormat="1" applyFont="1" applyFill="1" applyBorder="1" applyAlignment="1">
      <alignment horizontal="left"/>
    </xf>
    <xf numFmtId="170" fontId="3" fillId="0" borderId="1" xfId="1" applyNumberFormat="1" applyFont="1" applyFill="1" applyBorder="1"/>
    <xf numFmtId="0" fontId="11" fillId="0" borderId="1" xfId="0" applyFont="1" applyFill="1" applyBorder="1" applyAlignment="1">
      <alignment horizontal="left" vertical="center" wrapText="1" shrinkToFit="1"/>
    </xf>
    <xf numFmtId="170" fontId="3" fillId="0" borderId="1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41" fontId="12" fillId="2" borderId="1" xfId="0" applyNumberFormat="1" applyFont="1" applyFill="1" applyBorder="1" applyAlignment="1">
      <alignment wrapText="1"/>
    </xf>
    <xf numFmtId="166" fontId="13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 shrinkToFit="1"/>
    </xf>
    <xf numFmtId="166" fontId="5" fillId="3" borderId="1" xfId="1" applyNumberFormat="1" applyFont="1" applyFill="1" applyBorder="1" applyAlignment="1">
      <alignment horizontal="center"/>
    </xf>
    <xf numFmtId="166" fontId="7" fillId="3" borderId="1" xfId="1" applyNumberFormat="1" applyFont="1" applyFill="1" applyBorder="1" applyAlignment="1">
      <alignment horizontal="center"/>
    </xf>
    <xf numFmtId="41" fontId="5" fillId="3" borderId="1" xfId="1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41" fontId="4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left" wrapText="1" shrinkToFit="1"/>
    </xf>
    <xf numFmtId="49" fontId="1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 wrapText="1" shrinkToFit="1"/>
    </xf>
    <xf numFmtId="41" fontId="5" fillId="4" borderId="1" xfId="1" applyNumberFormat="1" applyFont="1" applyFill="1" applyBorder="1"/>
    <xf numFmtId="171" fontId="5" fillId="4" borderId="1" xfId="1" applyNumberFormat="1" applyFont="1" applyFill="1" applyBorder="1"/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 wrapText="1" shrinkToFit="1"/>
    </xf>
    <xf numFmtId="166" fontId="5" fillId="0" borderId="1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 shrinkToFit="1"/>
    </xf>
    <xf numFmtId="166" fontId="4" fillId="0" borderId="1" xfId="1" applyNumberFormat="1" applyFont="1" applyFill="1" applyBorder="1" applyAlignment="1">
      <alignment horizontal="center" wrapText="1"/>
    </xf>
    <xf numFmtId="41" fontId="4" fillId="0" borderId="1" xfId="0" applyNumberFormat="1" applyFont="1" applyFill="1" applyBorder="1" applyAlignment="1">
      <alignment wrapText="1"/>
    </xf>
    <xf numFmtId="171" fontId="4" fillId="0" borderId="1" xfId="1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 shrinkToFit="1"/>
    </xf>
    <xf numFmtId="41" fontId="3" fillId="0" borderId="1" xfId="0" applyNumberFormat="1" applyFont="1" applyFill="1" applyBorder="1" applyAlignment="1">
      <alignment wrapText="1"/>
    </xf>
    <xf numFmtId="166" fontId="7" fillId="0" borderId="1" xfId="1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vertical="center" wrapText="1" shrinkToFit="1"/>
    </xf>
    <xf numFmtId="166" fontId="5" fillId="0" borderId="1" xfId="1" applyNumberFormat="1" applyFont="1" applyFill="1" applyBorder="1" applyAlignment="1">
      <alignment horizontal="center" wrapText="1"/>
    </xf>
    <xf numFmtId="171" fontId="5" fillId="0" borderId="1" xfId="1" applyNumberFormat="1" applyFont="1" applyFill="1" applyBorder="1" applyAlignment="1"/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center" wrapText="1"/>
    </xf>
    <xf numFmtId="171" fontId="5" fillId="4" borderId="1" xfId="1" applyNumberFormat="1" applyFont="1" applyFill="1" applyBorder="1" applyAlignment="1"/>
    <xf numFmtId="41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/>
    </xf>
    <xf numFmtId="41" fontId="3" fillId="3" borderId="1" xfId="1" applyNumberFormat="1" applyFont="1" applyFill="1" applyBorder="1"/>
    <xf numFmtId="167" fontId="5" fillId="3" borderId="1" xfId="1" applyNumberFormat="1" applyFont="1" applyFill="1" applyBorder="1"/>
    <xf numFmtId="166" fontId="3" fillId="3" borderId="1" xfId="1" applyNumberFormat="1" applyFont="1" applyFill="1" applyBorder="1"/>
    <xf numFmtId="0" fontId="4" fillId="3" borderId="1" xfId="0" applyFont="1" applyFill="1" applyBorder="1" applyAlignment="1">
      <alignment horizontal="left" vertical="center" wrapText="1" shrinkToFit="1"/>
    </xf>
    <xf numFmtId="49" fontId="5" fillId="4" borderId="6" xfId="0" applyNumberFormat="1" applyFont="1" applyFill="1" applyBorder="1" applyAlignment="1"/>
    <xf numFmtId="49" fontId="5" fillId="4" borderId="5" xfId="0" applyNumberFormat="1" applyFont="1" applyFill="1" applyBorder="1" applyAlignment="1"/>
    <xf numFmtId="41" fontId="3" fillId="4" borderId="1" xfId="1" applyNumberFormat="1" applyFont="1" applyFill="1" applyBorder="1"/>
    <xf numFmtId="167" fontId="5" fillId="4" borderId="1" xfId="1" applyNumberFormat="1" applyFont="1" applyFill="1" applyBorder="1"/>
    <xf numFmtId="0" fontId="4" fillId="4" borderId="1" xfId="0" applyFont="1" applyFill="1" applyBorder="1" applyAlignment="1">
      <alignment horizontal="left" vertical="center" wrapText="1" shrinkToFit="1"/>
    </xf>
    <xf numFmtId="41" fontId="5" fillId="0" borderId="1" xfId="1" applyNumberFormat="1" applyFont="1" applyFill="1" applyBorder="1"/>
    <xf numFmtId="167" fontId="5" fillId="0" borderId="1" xfId="1" applyNumberFormat="1" applyFont="1" applyFill="1" applyBorder="1"/>
    <xf numFmtId="0" fontId="7" fillId="0" borderId="1" xfId="0" applyFont="1" applyFill="1" applyBorder="1" applyAlignment="1">
      <alignment horizontal="center" vertical="center" wrapText="1" shrinkToFit="1"/>
    </xf>
    <xf numFmtId="41" fontId="4" fillId="0" borderId="1" xfId="1" applyNumberFormat="1" applyFont="1" applyFill="1" applyBorder="1"/>
    <xf numFmtId="167" fontId="4" fillId="0" borderId="1" xfId="1" applyNumberFormat="1" applyFont="1" applyFill="1" applyBorder="1"/>
    <xf numFmtId="165" fontId="5" fillId="4" borderId="1" xfId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3" fillId="5" borderId="1" xfId="1" applyFont="1" applyFill="1" applyBorder="1"/>
    <xf numFmtId="165" fontId="3" fillId="2" borderId="1" xfId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5" fontId="3" fillId="5" borderId="1" xfId="1" applyFont="1" applyFill="1" applyBorder="1" applyAlignment="1">
      <alignment vertical="center"/>
    </xf>
    <xf numFmtId="165" fontId="3" fillId="0" borderId="1" xfId="1" applyFont="1" applyFill="1" applyBorder="1" applyAlignment="1">
      <alignment vertical="center"/>
    </xf>
    <xf numFmtId="165" fontId="3" fillId="0" borderId="1" xfId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wrapText="1" shrinkToFit="1"/>
    </xf>
    <xf numFmtId="49" fontId="26" fillId="0" borderId="1" xfId="0" applyNumberFormat="1" applyFont="1" applyFill="1" applyBorder="1" applyAlignment="1">
      <alignment horizontal="left" wrapText="1" shrinkToFit="1"/>
    </xf>
    <xf numFmtId="167" fontId="26" fillId="0" borderId="1" xfId="1" applyNumberFormat="1" applyFont="1" applyFill="1" applyBorder="1" applyAlignment="1"/>
    <xf numFmtId="49" fontId="26" fillId="2" borderId="1" xfId="0" applyNumberFormat="1" applyFont="1" applyFill="1" applyBorder="1" applyAlignment="1">
      <alignment horizontal="left" wrapText="1" shrinkToFit="1"/>
    </xf>
    <xf numFmtId="166" fontId="25" fillId="0" borderId="1" xfId="1" applyNumberFormat="1" applyFont="1" applyFill="1" applyBorder="1" applyAlignment="1">
      <alignment horizontal="center" wrapText="1"/>
    </xf>
    <xf numFmtId="41" fontId="26" fillId="2" borderId="1" xfId="0" applyNumberFormat="1" applyFont="1" applyFill="1" applyBorder="1" applyAlignment="1">
      <alignment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left" wrapText="1" shrinkToFi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left" wrapText="1" shrinkToFit="1"/>
    </xf>
    <xf numFmtId="166" fontId="11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 wrapText="1" shrinkToFit="1"/>
    </xf>
    <xf numFmtId="166" fontId="5" fillId="2" borderId="1" xfId="1" applyNumberFormat="1" applyFont="1" applyFill="1" applyBorder="1" applyAlignment="1">
      <alignment horizontal="center" wrapText="1"/>
    </xf>
    <xf numFmtId="41" fontId="5" fillId="2" borderId="1" xfId="1" applyNumberFormat="1" applyFont="1" applyFill="1" applyBorder="1"/>
    <xf numFmtId="167" fontId="5" fillId="2" borderId="1" xfId="1" applyNumberFormat="1" applyFont="1" applyFill="1" applyBorder="1"/>
    <xf numFmtId="0" fontId="7" fillId="2" borderId="1" xfId="0" applyFont="1" applyFill="1" applyBorder="1" applyAlignment="1">
      <alignment horizontal="center" vertical="center" wrapText="1" shrinkToFit="1"/>
    </xf>
    <xf numFmtId="167" fontId="4" fillId="2" borderId="1" xfId="1" applyNumberFormat="1" applyFont="1" applyFill="1" applyBorder="1"/>
    <xf numFmtId="0" fontId="7" fillId="2" borderId="1" xfId="0" applyFont="1" applyFill="1" applyBorder="1" applyAlignment="1">
      <alignment horizontal="left" vertical="center" wrapText="1" shrinkToFit="1"/>
    </xf>
    <xf numFmtId="171" fontId="4" fillId="2" borderId="1" xfId="1" applyNumberFormat="1" applyFont="1" applyFill="1" applyBorder="1" applyAlignment="1"/>
    <xf numFmtId="166" fontId="7" fillId="2" borderId="1" xfId="1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vertical="center" wrapText="1" shrinkToFit="1"/>
    </xf>
    <xf numFmtId="167" fontId="4" fillId="2" borderId="1" xfId="1" applyNumberFormat="1" applyFont="1" applyFill="1" applyBorder="1" applyAlignment="1"/>
    <xf numFmtId="171" fontId="5" fillId="2" borderId="1" xfId="1" applyNumberFormat="1" applyFont="1" applyFill="1" applyBorder="1" applyAlignment="1"/>
    <xf numFmtId="49" fontId="7" fillId="2" borderId="1" xfId="0" applyNumberFormat="1" applyFont="1" applyFill="1" applyBorder="1" applyAlignment="1">
      <alignment horizontal="right"/>
    </xf>
    <xf numFmtId="169" fontId="7" fillId="2" borderId="1" xfId="0" applyNumberFormat="1" applyFont="1" applyFill="1" applyBorder="1" applyAlignment="1">
      <alignment horizontal="center" wrapText="1"/>
    </xf>
    <xf numFmtId="41" fontId="7" fillId="2" borderId="1" xfId="0" applyNumberFormat="1" applyFont="1" applyFill="1" applyBorder="1" applyAlignment="1">
      <alignment wrapText="1"/>
    </xf>
    <xf numFmtId="41" fontId="7" fillId="2" borderId="1" xfId="0" applyNumberFormat="1" applyFont="1" applyFill="1" applyBorder="1" applyAlignment="1">
      <alignment horizontal="center" wrapText="1"/>
    </xf>
    <xf numFmtId="41" fontId="5" fillId="7" borderId="1" xfId="1" applyNumberFormat="1" applyFont="1" applyFill="1" applyBorder="1"/>
    <xf numFmtId="41" fontId="5" fillId="2" borderId="1" xfId="0" applyNumberFormat="1" applyFont="1" applyFill="1" applyBorder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171" fontId="5" fillId="2" borderId="1" xfId="1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 wrapText="1" shrinkToFit="1"/>
    </xf>
    <xf numFmtId="172" fontId="4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left" vertical="center" wrapText="1"/>
    </xf>
    <xf numFmtId="169" fontId="5" fillId="2" borderId="1" xfId="0" applyNumberFormat="1" applyFont="1" applyFill="1" applyBorder="1" applyAlignment="1">
      <alignment horizontal="center" wrapText="1"/>
    </xf>
    <xf numFmtId="41" fontId="5" fillId="2" borderId="1" xfId="0" applyNumberFormat="1" applyFont="1" applyFill="1" applyBorder="1" applyAlignment="1">
      <alignment vertical="center" wrapText="1"/>
    </xf>
    <xf numFmtId="41" fontId="5" fillId="0" borderId="1" xfId="0" applyNumberFormat="1" applyFont="1" applyFill="1" applyBorder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horizontal="center"/>
    </xf>
    <xf numFmtId="0" fontId="27" fillId="0" borderId="0" xfId="0" applyFont="1"/>
    <xf numFmtId="2" fontId="27" fillId="0" borderId="0" xfId="0" applyNumberFormat="1" applyFont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27" fillId="0" borderId="1" xfId="0" applyFont="1" applyBorder="1" applyAlignment="1">
      <alignment horizontal="center" vertical="center" wrapText="1" shrinkToFit="1"/>
    </xf>
    <xf numFmtId="2" fontId="27" fillId="0" borderId="1" xfId="0" applyNumberFormat="1" applyFont="1" applyBorder="1" applyAlignment="1">
      <alignment horizontal="center" vertical="center" wrapText="1" shrinkToFit="1"/>
    </xf>
    <xf numFmtId="3" fontId="27" fillId="0" borderId="1" xfId="0" applyNumberFormat="1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right"/>
    </xf>
    <xf numFmtId="173" fontId="15" fillId="4" borderId="1" xfId="0" applyNumberFormat="1" applyFont="1" applyFill="1" applyBorder="1" applyAlignment="1">
      <alignment horizontal="center"/>
    </xf>
    <xf numFmtId="0" fontId="16" fillId="2" borderId="0" xfId="0" applyFont="1" applyFill="1"/>
    <xf numFmtId="49" fontId="25" fillId="2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left" wrapText="1" shrinkToFit="1"/>
    </xf>
    <xf numFmtId="166" fontId="27" fillId="2" borderId="1" xfId="1" applyNumberFormat="1" applyFont="1" applyFill="1" applyBorder="1"/>
    <xf numFmtId="168" fontId="25" fillId="2" borderId="1" xfId="1" applyNumberFormat="1" applyFont="1" applyFill="1" applyBorder="1" applyAlignment="1">
      <alignment horizontal="right"/>
    </xf>
    <xf numFmtId="41" fontId="25" fillId="2" borderId="1" xfId="1" applyNumberFormat="1" applyFont="1" applyFill="1" applyBorder="1" applyAlignment="1">
      <alignment horizontal="right"/>
    </xf>
    <xf numFmtId="167" fontId="25" fillId="2" borderId="1" xfId="1" applyNumberFormat="1" applyFont="1" applyFill="1" applyBorder="1" applyAlignment="1">
      <alignment horizontal="center"/>
    </xf>
    <xf numFmtId="3" fontId="25" fillId="2" borderId="1" xfId="1" applyNumberFormat="1" applyFont="1" applyFill="1" applyBorder="1" applyAlignment="1">
      <alignment horizontal="right"/>
    </xf>
    <xf numFmtId="167" fontId="25" fillId="2" borderId="1" xfId="1" applyNumberFormat="1" applyFont="1" applyFill="1" applyBorder="1" applyAlignment="1">
      <alignment horizontal="right"/>
    </xf>
    <xf numFmtId="0" fontId="25" fillId="2" borderId="0" xfId="0" applyFont="1" applyFill="1"/>
    <xf numFmtId="166" fontId="25" fillId="2" borderId="1" xfId="1" applyNumberFormat="1" applyFont="1" applyFill="1" applyBorder="1" applyAlignment="1">
      <alignment horizontal="center"/>
    </xf>
    <xf numFmtId="174" fontId="25" fillId="2" borderId="1" xfId="0" applyNumberFormat="1" applyFont="1" applyFill="1" applyBorder="1" applyAlignment="1">
      <alignment wrapText="1" shrinkToFit="1"/>
    </xf>
    <xf numFmtId="41" fontId="25" fillId="2" borderId="1" xfId="1" applyNumberFormat="1" applyFont="1" applyFill="1" applyBorder="1" applyAlignment="1"/>
    <xf numFmtId="3" fontId="25" fillId="2" borderId="1" xfId="1" applyNumberFormat="1" applyFont="1" applyFill="1" applyBorder="1" applyAlignment="1"/>
    <xf numFmtId="167" fontId="25" fillId="2" borderId="1" xfId="1" applyNumberFormat="1" applyFont="1" applyFill="1" applyBorder="1" applyAlignment="1"/>
    <xf numFmtId="0" fontId="27" fillId="2" borderId="0" xfId="0" applyFont="1" applyFill="1"/>
    <xf numFmtId="49" fontId="26" fillId="2" borderId="1" xfId="0" applyNumberFormat="1" applyFont="1" applyFill="1" applyBorder="1" applyAlignment="1">
      <alignment horizontal="center"/>
    </xf>
    <xf numFmtId="166" fontId="26" fillId="2" borderId="1" xfId="1" applyNumberFormat="1" applyFont="1" applyFill="1" applyBorder="1" applyAlignment="1">
      <alignment horizontal="center"/>
    </xf>
    <xf numFmtId="174" fontId="26" fillId="2" borderId="1" xfId="1" applyNumberFormat="1" applyFont="1" applyFill="1" applyBorder="1" applyAlignment="1"/>
    <xf numFmtId="41" fontId="26" fillId="2" borderId="1" xfId="1" applyNumberFormat="1" applyFont="1" applyFill="1" applyBorder="1" applyAlignment="1"/>
    <xf numFmtId="167" fontId="26" fillId="2" borderId="1" xfId="1" applyNumberFormat="1" applyFont="1" applyFill="1" applyBorder="1" applyAlignment="1">
      <alignment horizontal="center"/>
    </xf>
    <xf numFmtId="3" fontId="26" fillId="2" borderId="1" xfId="1" applyNumberFormat="1" applyFont="1" applyFill="1" applyBorder="1" applyAlignment="1"/>
    <xf numFmtId="167" fontId="26" fillId="2" borderId="1" xfId="1" applyNumberFormat="1" applyFont="1" applyFill="1" applyBorder="1" applyAlignment="1"/>
    <xf numFmtId="0" fontId="26" fillId="2" borderId="0" xfId="0" applyFont="1" applyFill="1"/>
    <xf numFmtId="174" fontId="25" fillId="2" borderId="1" xfId="1" applyNumberFormat="1" applyFont="1" applyFill="1" applyBorder="1" applyAlignment="1"/>
    <xf numFmtId="174" fontId="26" fillId="2" borderId="1" xfId="0" applyNumberFormat="1" applyFont="1" applyFill="1" applyBorder="1" applyAlignment="1">
      <alignment wrapText="1" shrinkToFit="1"/>
    </xf>
    <xf numFmtId="0" fontId="26" fillId="2" borderId="0" xfId="0" applyFont="1" applyFill="1" applyAlignment="1">
      <alignment horizontal="left"/>
    </xf>
    <xf numFmtId="49" fontId="27" fillId="2" borderId="1" xfId="0" applyNumberFormat="1" applyFont="1" applyFill="1" applyBorder="1" applyAlignment="1">
      <alignment horizontal="left" wrapText="1" shrinkToFit="1"/>
    </xf>
    <xf numFmtId="170" fontId="25" fillId="2" borderId="1" xfId="1" applyNumberFormat="1" applyFont="1" applyFill="1" applyBorder="1" applyAlignment="1"/>
    <xf numFmtId="49" fontId="25" fillId="2" borderId="1" xfId="0" applyNumberFormat="1" applyFont="1" applyFill="1" applyBorder="1" applyAlignment="1">
      <alignment horizontal="center" wrapText="1" shrinkToFit="1"/>
    </xf>
    <xf numFmtId="49" fontId="25" fillId="2" borderId="1" xfId="0" applyNumberFormat="1" applyFont="1" applyFill="1" applyBorder="1" applyAlignment="1">
      <alignment horizontal="left" wrapText="1"/>
    </xf>
    <xf numFmtId="49" fontId="25" fillId="2" borderId="1" xfId="0" applyNumberFormat="1" applyFont="1" applyFill="1" applyBorder="1" applyAlignment="1">
      <alignment wrapText="1" shrinkToFit="1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vertical="center" wrapText="1" shrinkToFit="1"/>
    </xf>
    <xf numFmtId="170" fontId="25" fillId="2" borderId="1" xfId="1" applyNumberFormat="1" applyFont="1" applyFill="1" applyBorder="1" applyAlignment="1">
      <alignment vertical="center"/>
    </xf>
    <xf numFmtId="167" fontId="25" fillId="2" borderId="1" xfId="1" applyNumberFormat="1" applyFont="1" applyFill="1" applyBorder="1" applyAlignment="1">
      <alignment horizontal="center" vertical="center"/>
    </xf>
    <xf numFmtId="3" fontId="25" fillId="2" borderId="1" xfId="1" applyNumberFormat="1" applyFont="1" applyFill="1" applyBorder="1" applyAlignment="1">
      <alignment vertical="center"/>
    </xf>
    <xf numFmtId="167" fontId="25" fillId="2" borderId="1" xfId="1" applyNumberFormat="1" applyFont="1" applyFill="1" applyBorder="1" applyAlignment="1">
      <alignment vertical="center"/>
    </xf>
    <xf numFmtId="49" fontId="15" fillId="4" borderId="1" xfId="0" applyNumberFormat="1" applyFont="1" applyFill="1" applyBorder="1" applyAlignment="1"/>
    <xf numFmtId="0" fontId="15" fillId="4" borderId="1" xfId="0" applyNumberFormat="1" applyFont="1" applyFill="1" applyBorder="1" applyAlignment="1">
      <alignment horizontal="left" wrapText="1" shrinkToFit="1"/>
    </xf>
    <xf numFmtId="49" fontId="15" fillId="4" borderId="1" xfId="0" applyNumberFormat="1" applyFont="1" applyFill="1" applyBorder="1" applyAlignment="1">
      <alignment wrapText="1" shrinkToFit="1"/>
    </xf>
    <xf numFmtId="170" fontId="15" fillId="4" borderId="1" xfId="1" applyNumberFormat="1" applyFont="1" applyFill="1" applyBorder="1" applyAlignment="1"/>
    <xf numFmtId="167" fontId="15" fillId="4" borderId="1" xfId="1" applyNumberFormat="1" applyFont="1" applyFill="1" applyBorder="1" applyAlignment="1"/>
    <xf numFmtId="3" fontId="15" fillId="4" borderId="1" xfId="1" applyNumberFormat="1" applyFont="1" applyFill="1" applyBorder="1" applyAlignment="1"/>
    <xf numFmtId="0" fontId="15" fillId="6" borderId="0" xfId="0" applyFont="1" applyFill="1" applyAlignment="1"/>
    <xf numFmtId="49" fontId="25" fillId="0" borderId="1" xfId="0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41" fontId="25" fillId="0" borderId="1" xfId="1" applyNumberFormat="1" applyFont="1" applyFill="1" applyBorder="1" applyAlignment="1"/>
    <xf numFmtId="167" fontId="25" fillId="0" borderId="1" xfId="1" applyNumberFormat="1" applyFont="1" applyFill="1" applyBorder="1" applyAlignment="1">
      <alignment horizontal="center"/>
    </xf>
    <xf numFmtId="3" fontId="25" fillId="0" borderId="1" xfId="1" applyNumberFormat="1" applyFont="1" applyFill="1" applyBorder="1" applyAlignment="1"/>
    <xf numFmtId="167" fontId="5" fillId="0" borderId="1" xfId="1" applyNumberFormat="1" applyFont="1" applyFill="1" applyBorder="1" applyAlignment="1"/>
    <xf numFmtId="0" fontId="25" fillId="0" borderId="0" xfId="0" applyFont="1" applyFill="1"/>
    <xf numFmtId="166" fontId="25" fillId="0" borderId="1" xfId="1" applyNumberFormat="1" applyFont="1" applyFill="1" applyBorder="1" applyAlignment="1">
      <alignment horizontal="center"/>
    </xf>
    <xf numFmtId="167" fontId="25" fillId="0" borderId="1" xfId="1" applyNumberFormat="1" applyFont="1" applyFill="1" applyBorder="1" applyAlignment="1"/>
    <xf numFmtId="49" fontId="2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 shrinkToFit="1"/>
    </xf>
    <xf numFmtId="166" fontId="26" fillId="0" borderId="1" xfId="1" applyNumberFormat="1" applyFont="1" applyFill="1" applyBorder="1" applyAlignment="1">
      <alignment horizontal="center"/>
    </xf>
    <xf numFmtId="41" fontId="26" fillId="0" borderId="1" xfId="1" applyNumberFormat="1" applyFont="1" applyFill="1" applyBorder="1" applyAlignment="1"/>
    <xf numFmtId="167" fontId="26" fillId="0" borderId="1" xfId="1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/>
    <xf numFmtId="3" fontId="26" fillId="0" borderId="1" xfId="1" applyNumberFormat="1" applyFont="1" applyFill="1" applyBorder="1" applyAlignment="1"/>
    <xf numFmtId="0" fontId="26" fillId="0" borderId="0" xfId="0" applyFont="1" applyFill="1"/>
    <xf numFmtId="0" fontId="27" fillId="0" borderId="0" xfId="0" applyFont="1" applyFill="1"/>
    <xf numFmtId="166" fontId="3" fillId="0" borderId="1" xfId="1" applyNumberFormat="1" applyFont="1" applyFill="1" applyBorder="1" applyAlignment="1">
      <alignment horizontal="center" wrapText="1"/>
    </xf>
    <xf numFmtId="170" fontId="25" fillId="0" borderId="1" xfId="1" applyNumberFormat="1" applyFont="1" applyFill="1" applyBorder="1" applyAlignment="1"/>
    <xf numFmtId="0" fontId="36" fillId="2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wrapText="1" shrinkToFit="1"/>
    </xf>
    <xf numFmtId="3" fontId="15" fillId="4" borderId="1" xfId="0" applyNumberFormat="1" applyFont="1" applyFill="1" applyBorder="1" applyAlignment="1">
      <alignment horizontal="center" wrapText="1" shrinkToFit="1"/>
    </xf>
    <xf numFmtId="170" fontId="15" fillId="4" borderId="1" xfId="1" applyNumberFormat="1" applyFont="1" applyFill="1" applyBorder="1" applyAlignment="1">
      <alignment horizontal="right"/>
    </xf>
    <xf numFmtId="167" fontId="15" fillId="4" borderId="1" xfId="1" applyNumberFormat="1" applyFont="1" applyFill="1" applyBorder="1" applyAlignment="1">
      <alignment horizontal="center"/>
    </xf>
    <xf numFmtId="0" fontId="16" fillId="6" borderId="0" xfId="0" applyFont="1" applyFill="1"/>
    <xf numFmtId="170" fontId="25" fillId="2" borderId="1" xfId="1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/>
    <xf numFmtId="49" fontId="27" fillId="2" borderId="1" xfId="0" applyNumberFormat="1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left" vertical="center" wrapText="1" shrinkToFit="1"/>
    </xf>
    <xf numFmtId="49" fontId="27" fillId="2" borderId="1" xfId="0" applyNumberFormat="1" applyFont="1" applyFill="1" applyBorder="1" applyAlignment="1">
      <alignment horizontal="center" wrapText="1" shrinkToFit="1"/>
    </xf>
    <xf numFmtId="170" fontId="27" fillId="2" borderId="1" xfId="1" applyNumberFormat="1" applyFont="1" applyFill="1" applyBorder="1" applyAlignment="1">
      <alignment horizontal="center"/>
    </xf>
    <xf numFmtId="170" fontId="27" fillId="2" borderId="1" xfId="1" applyNumberFormat="1" applyFont="1" applyFill="1" applyBorder="1" applyAlignment="1"/>
    <xf numFmtId="167" fontId="27" fillId="2" borderId="1" xfId="1" applyNumberFormat="1" applyFont="1" applyFill="1" applyBorder="1" applyAlignment="1">
      <alignment horizontal="center"/>
    </xf>
    <xf numFmtId="167" fontId="27" fillId="2" borderId="1" xfId="1" applyNumberFormat="1" applyFont="1" applyFill="1" applyBorder="1" applyAlignment="1"/>
    <xf numFmtId="3" fontId="15" fillId="4" borderId="1" xfId="0" applyNumberFormat="1" applyFont="1" applyFill="1" applyBorder="1" applyAlignment="1">
      <alignment horizontal="right" wrapText="1" shrinkToFit="1"/>
    </xf>
    <xf numFmtId="3" fontId="15" fillId="4" borderId="1" xfId="1" applyNumberFormat="1" applyFont="1" applyFill="1" applyBorder="1" applyAlignment="1">
      <alignment horizontal="right"/>
    </xf>
    <xf numFmtId="3" fontId="27" fillId="2" borderId="1" xfId="1" applyNumberFormat="1" applyFont="1" applyFill="1" applyBorder="1" applyAlignment="1"/>
    <xf numFmtId="49" fontId="27" fillId="2" borderId="1" xfId="0" applyNumberFormat="1" applyFont="1" applyFill="1" applyBorder="1" applyAlignment="1">
      <alignment horizontal="right"/>
    </xf>
    <xf numFmtId="49" fontId="27" fillId="2" borderId="1" xfId="0" applyNumberFormat="1" applyFont="1" applyFill="1" applyBorder="1" applyAlignment="1">
      <alignment wrapText="1" shrinkToFit="1"/>
    </xf>
    <xf numFmtId="49" fontId="15" fillId="4" borderId="1" xfId="0" applyNumberFormat="1" applyFont="1" applyFill="1" applyBorder="1" applyAlignment="1">
      <alignment vertical="center" wrapText="1" shrinkToFit="1"/>
    </xf>
    <xf numFmtId="166" fontId="15" fillId="4" borderId="1" xfId="1" applyNumberFormat="1" applyFont="1" applyFill="1" applyBorder="1" applyAlignment="1">
      <alignment horizontal="center"/>
    </xf>
    <xf numFmtId="166" fontId="15" fillId="4" borderId="1" xfId="1" applyNumberFormat="1" applyFont="1" applyFill="1" applyBorder="1" applyAlignment="1"/>
    <xf numFmtId="0" fontId="15" fillId="6" borderId="0" xfId="0" applyFont="1" applyFill="1"/>
    <xf numFmtId="0" fontId="25" fillId="2" borderId="1" xfId="0" applyFont="1" applyFill="1" applyBorder="1" applyAlignment="1"/>
    <xf numFmtId="49" fontId="25" fillId="2" borderId="1" xfId="0" applyNumberFormat="1" applyFont="1" applyFill="1" applyBorder="1" applyAlignment="1">
      <alignment horizontal="left" vertical="center" wrapText="1" shrinkToFit="1"/>
    </xf>
    <xf numFmtId="168" fontId="25" fillId="2" borderId="1" xfId="1" applyNumberFormat="1" applyFont="1" applyFill="1" applyBorder="1" applyAlignment="1">
      <alignment horizontal="center" vertical="center"/>
    </xf>
    <xf numFmtId="3" fontId="30" fillId="2" borderId="1" xfId="1" applyNumberFormat="1" applyFont="1" applyFill="1" applyBorder="1" applyAlignment="1"/>
    <xf numFmtId="166" fontId="23" fillId="2" borderId="1" xfId="1" applyNumberFormat="1" applyFont="1" applyFill="1" applyBorder="1" applyAlignment="1"/>
    <xf numFmtId="49" fontId="25" fillId="2" borderId="1" xfId="0" applyNumberFormat="1" applyFont="1" applyFill="1" applyBorder="1" applyAlignment="1">
      <alignment horizontal="right"/>
    </xf>
    <xf numFmtId="166" fontId="25" fillId="2" borderId="1" xfId="1" applyNumberFormat="1" applyFont="1" applyFill="1" applyBorder="1" applyAlignment="1">
      <alignment horizontal="center" wrapText="1"/>
    </xf>
    <xf numFmtId="41" fontId="25" fillId="2" borderId="1" xfId="0" applyNumberFormat="1" applyFont="1" applyFill="1" applyBorder="1" applyAlignment="1">
      <alignment wrapText="1"/>
    </xf>
    <xf numFmtId="3" fontId="25" fillId="2" borderId="1" xfId="0" applyNumberFormat="1" applyFont="1" applyFill="1" applyBorder="1" applyAlignment="1">
      <alignment wrapText="1"/>
    </xf>
    <xf numFmtId="3" fontId="30" fillId="2" borderId="1" xfId="0" applyNumberFormat="1" applyFont="1" applyFill="1" applyBorder="1" applyAlignment="1">
      <alignment wrapText="1"/>
    </xf>
    <xf numFmtId="166" fontId="30" fillId="2" borderId="1" xfId="1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horizontal="center" wrapText="1"/>
    </xf>
    <xf numFmtId="3" fontId="28" fillId="2" borderId="1" xfId="1" applyNumberFormat="1" applyFont="1" applyFill="1" applyBorder="1" applyAlignment="1"/>
    <xf numFmtId="166" fontId="11" fillId="2" borderId="1" xfId="1" applyNumberFormat="1" applyFont="1" applyFill="1" applyBorder="1" applyAlignment="1"/>
    <xf numFmtId="0" fontId="15" fillId="2" borderId="0" xfId="0" applyFont="1" applyFill="1"/>
    <xf numFmtId="3" fontId="26" fillId="2" borderId="1" xfId="0" applyNumberFormat="1" applyFont="1" applyFill="1" applyBorder="1" applyAlignment="1"/>
    <xf numFmtId="166" fontId="29" fillId="2" borderId="1" xfId="1" applyNumberFormat="1" applyFont="1" applyFill="1" applyBorder="1" applyAlignment="1">
      <alignment horizontal="center" wrapText="1"/>
    </xf>
    <xf numFmtId="3" fontId="28" fillId="2" borderId="1" xfId="0" applyNumberFormat="1" applyFont="1" applyFill="1" applyBorder="1" applyAlignment="1"/>
    <xf numFmtId="49" fontId="29" fillId="2" borderId="1" xfId="0" applyNumberFormat="1" applyFont="1" applyFill="1" applyBorder="1" applyAlignment="1">
      <alignment horizontal="right"/>
    </xf>
    <xf numFmtId="41" fontId="30" fillId="2" borderId="1" xfId="0" applyNumberFormat="1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right" wrapText="1" shrinkToFit="1"/>
    </xf>
    <xf numFmtId="3" fontId="25" fillId="2" borderId="1" xfId="0" applyNumberFormat="1" applyFont="1" applyFill="1" applyBorder="1" applyAlignment="1"/>
    <xf numFmtId="3" fontId="30" fillId="2" borderId="1" xfId="0" applyNumberFormat="1" applyFont="1" applyFill="1" applyBorder="1" applyAlignment="1"/>
    <xf numFmtId="166" fontId="29" fillId="2" borderId="1" xfId="1" applyNumberFormat="1" applyFont="1" applyFill="1" applyBorder="1" applyAlignment="1">
      <alignment horizontal="center"/>
    </xf>
    <xf numFmtId="166" fontId="37" fillId="2" borderId="1" xfId="1" applyNumberFormat="1" applyFont="1" applyFill="1" applyBorder="1" applyAlignment="1"/>
    <xf numFmtId="49" fontId="30" fillId="2" borderId="1" xfId="0" applyNumberFormat="1" applyFont="1" applyFill="1" applyBorder="1" applyAlignment="1"/>
    <xf numFmtId="41" fontId="34" fillId="2" borderId="1" xfId="1" applyNumberFormat="1" applyFont="1" applyFill="1" applyBorder="1"/>
    <xf numFmtId="41" fontId="30" fillId="2" borderId="1" xfId="1" applyNumberFormat="1" applyFont="1" applyFill="1" applyBorder="1" applyAlignment="1"/>
    <xf numFmtId="166" fontId="30" fillId="2" borderId="1" xfId="1" applyNumberFormat="1" applyFont="1" applyFill="1" applyBorder="1" applyAlignment="1"/>
    <xf numFmtId="0" fontId="34" fillId="2" borderId="0" xfId="0" applyFont="1" applyFill="1"/>
    <xf numFmtId="0" fontId="20" fillId="2" borderId="0" xfId="0" applyFont="1" applyFill="1"/>
    <xf numFmtId="49" fontId="30" fillId="2" borderId="1" xfId="0" applyNumberFormat="1" applyFont="1" applyFill="1" applyBorder="1" applyAlignment="1">
      <alignment horizontal="right"/>
    </xf>
    <xf numFmtId="49" fontId="30" fillId="2" borderId="1" xfId="0" applyNumberFormat="1" applyFont="1" applyFill="1" applyBorder="1" applyAlignment="1">
      <alignment horizontal="left" wrapText="1" shrinkToFit="1"/>
    </xf>
    <xf numFmtId="166" fontId="30" fillId="2" borderId="1" xfId="1" applyNumberFormat="1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right"/>
    </xf>
    <xf numFmtId="49" fontId="28" fillId="2" borderId="1" xfId="0" applyNumberFormat="1" applyFont="1" applyFill="1" applyBorder="1" applyAlignment="1">
      <alignment horizontal="left" wrapText="1" shrinkToFit="1"/>
    </xf>
    <xf numFmtId="166" fontId="28" fillId="2" borderId="1" xfId="1" applyNumberFormat="1" applyFont="1" applyFill="1" applyBorder="1" applyAlignment="1">
      <alignment horizontal="center" wrapText="1"/>
    </xf>
    <xf numFmtId="41" fontId="28" fillId="2" borderId="1" xfId="1" applyNumberFormat="1" applyFont="1" applyFill="1" applyBorder="1" applyAlignment="1"/>
    <xf numFmtId="166" fontId="28" fillId="2" borderId="1" xfId="1" applyNumberFormat="1" applyFont="1" applyFill="1" applyBorder="1" applyAlignment="1">
      <alignment horizontal="center"/>
    </xf>
    <xf numFmtId="166" fontId="28" fillId="2" borderId="1" xfId="1" applyNumberFormat="1" applyFont="1" applyFill="1" applyBorder="1" applyAlignment="1"/>
    <xf numFmtId="41" fontId="28" fillId="2" borderId="1" xfId="1" applyNumberFormat="1" applyFont="1" applyFill="1" applyBorder="1"/>
    <xf numFmtId="49" fontId="30" fillId="2" borderId="1" xfId="0" applyNumberFormat="1" applyFont="1" applyFill="1" applyBorder="1" applyAlignment="1">
      <alignment horizontal="center"/>
    </xf>
    <xf numFmtId="168" fontId="30" fillId="2" borderId="1" xfId="1" applyNumberFormat="1" applyFont="1" applyFill="1" applyBorder="1" applyAlignment="1"/>
    <xf numFmtId="166" fontId="30" fillId="2" borderId="1" xfId="1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30" fillId="2" borderId="1" xfId="0" applyNumberFormat="1" applyFont="1" applyFill="1" applyBorder="1" applyAlignment="1">
      <alignment horizontal="left" wrapText="1" shrinkToFit="1"/>
    </xf>
    <xf numFmtId="166" fontId="30" fillId="2" borderId="1" xfId="1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left" wrapText="1" shrinkToFit="1"/>
    </xf>
    <xf numFmtId="49" fontId="30" fillId="2" borderId="1" xfId="0" applyNumberFormat="1" applyFont="1" applyFill="1" applyBorder="1" applyAlignment="1">
      <alignment horizontal="left" vertical="center" wrapText="1" shrinkToFit="1"/>
    </xf>
    <xf numFmtId="168" fontId="25" fillId="2" borderId="1" xfId="1" applyNumberFormat="1" applyFont="1" applyFill="1" applyBorder="1" applyAlignment="1"/>
    <xf numFmtId="49" fontId="38" fillId="0" borderId="1" xfId="0" applyNumberFormat="1" applyFont="1" applyFill="1" applyBorder="1" applyAlignment="1">
      <alignment horizontal="left" wrapText="1" shrinkToFi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 shrinkToFit="1"/>
    </xf>
    <xf numFmtId="0" fontId="25" fillId="4" borderId="1" xfId="0" applyFont="1" applyFill="1" applyBorder="1"/>
    <xf numFmtId="41" fontId="5" fillId="4" borderId="1" xfId="0" applyNumberFormat="1" applyFont="1" applyFill="1" applyBorder="1" applyAlignment="1"/>
    <xf numFmtId="166" fontId="30" fillId="4" borderId="1" xfId="1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/>
    <xf numFmtId="0" fontId="35" fillId="2" borderId="0" xfId="0" applyFont="1" applyFill="1"/>
    <xf numFmtId="0" fontId="39" fillId="0" borderId="0" xfId="0" applyFont="1" applyAlignment="1">
      <alignment horizontal="center"/>
    </xf>
    <xf numFmtId="0" fontId="39" fillId="0" borderId="0" xfId="0" applyFont="1"/>
    <xf numFmtId="0" fontId="27" fillId="0" borderId="0" xfId="0" applyFont="1" applyFill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1" fontId="27" fillId="0" borderId="0" xfId="0" applyNumberFormat="1" applyFont="1"/>
    <xf numFmtId="168" fontId="35" fillId="0" borderId="0" xfId="0" applyNumberFormat="1" applyFont="1" applyFill="1"/>
    <xf numFmtId="166" fontId="35" fillId="0" borderId="0" xfId="1" applyNumberFormat="1" applyFont="1" applyFill="1"/>
    <xf numFmtId="176" fontId="35" fillId="0" borderId="0" xfId="0" applyNumberFormat="1" applyFont="1" applyFill="1"/>
    <xf numFmtId="177" fontId="35" fillId="0" borderId="0" xfId="0" applyNumberFormat="1" applyFont="1" applyFill="1"/>
    <xf numFmtId="170" fontId="16" fillId="0" borderId="0" xfId="0" applyNumberFormat="1" applyFont="1" applyFill="1"/>
    <xf numFmtId="0" fontId="16" fillId="0" borderId="0" xfId="0" applyFont="1" applyFill="1"/>
    <xf numFmtId="175" fontId="27" fillId="0" borderId="0" xfId="0" applyNumberFormat="1" applyFont="1" applyFill="1"/>
    <xf numFmtId="0" fontId="26" fillId="0" borderId="0" xfId="0" applyFont="1" applyFill="1" applyAlignment="1">
      <alignment horizontal="left"/>
    </xf>
    <xf numFmtId="0" fontId="15" fillId="0" borderId="0" xfId="0" applyFont="1" applyFill="1" applyAlignment="1"/>
    <xf numFmtId="0" fontId="15" fillId="0" borderId="0" xfId="0" applyFont="1" applyFill="1"/>
    <xf numFmtId="0" fontId="27" fillId="0" borderId="0" xfId="0" applyFont="1" applyFill="1" applyBorder="1"/>
    <xf numFmtId="0" fontId="16" fillId="0" borderId="0" xfId="0" applyFont="1" applyFill="1" applyBorder="1"/>
    <xf numFmtId="0" fontId="34" fillId="0" borderId="0" xfId="0" applyFont="1" applyFill="1"/>
    <xf numFmtId="0" fontId="20" fillId="0" borderId="0" xfId="0" applyFont="1" applyFill="1"/>
    <xf numFmtId="0" fontId="30" fillId="0" borderId="0" xfId="0" applyFont="1" applyFill="1"/>
    <xf numFmtId="0" fontId="18" fillId="0" borderId="0" xfId="0" applyFont="1" applyFill="1"/>
    <xf numFmtId="0" fontId="39" fillId="0" borderId="0" xfId="0" applyFont="1" applyFill="1"/>
    <xf numFmtId="0" fontId="40" fillId="0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right"/>
    </xf>
    <xf numFmtId="49" fontId="31" fillId="2" borderId="1" xfId="0" applyNumberFormat="1" applyFont="1" applyFill="1" applyBorder="1" applyAlignment="1">
      <alignment horizontal="left" wrapText="1" shrinkToFit="1"/>
    </xf>
    <xf numFmtId="49" fontId="14" fillId="0" borderId="1" xfId="0" applyNumberFormat="1" applyFont="1" applyFill="1" applyBorder="1" applyAlignment="1">
      <alignment horizontal="left" wrapText="1" shrinkToFit="1"/>
    </xf>
    <xf numFmtId="49" fontId="32" fillId="2" borderId="1" xfId="0" applyNumberFormat="1" applyFont="1" applyFill="1" applyBorder="1" applyAlignment="1">
      <alignment horizontal="right"/>
    </xf>
    <xf numFmtId="0" fontId="31" fillId="0" borderId="0" xfId="0" applyFont="1" applyFill="1"/>
    <xf numFmtId="0" fontId="19" fillId="0" borderId="0" xfId="0" applyFont="1" applyFill="1"/>
    <xf numFmtId="0" fontId="19" fillId="2" borderId="0" xfId="0" applyFont="1" applyFill="1"/>
    <xf numFmtId="166" fontId="33" fillId="2" borderId="1" xfId="1" applyNumberFormat="1" applyFont="1" applyFill="1" applyBorder="1" applyAlignment="1"/>
    <xf numFmtId="0" fontId="39" fillId="2" borderId="0" xfId="0" applyFont="1" applyFill="1"/>
    <xf numFmtId="166" fontId="14" fillId="2" borderId="1" xfId="1" applyNumberFormat="1" applyFont="1" applyFill="1" applyBorder="1" applyAlignment="1"/>
    <xf numFmtId="0" fontId="29" fillId="0" borderId="0" xfId="0" applyFont="1" applyFill="1"/>
    <xf numFmtId="0" fontId="17" fillId="0" borderId="0" xfId="0" applyFont="1" applyFill="1"/>
    <xf numFmtId="0" fontId="17" fillId="2" borderId="0" xfId="0" applyFont="1" applyFill="1"/>
    <xf numFmtId="166" fontId="34" fillId="2" borderId="1" xfId="1" applyNumberFormat="1" applyFont="1" applyFill="1" applyBorder="1" applyAlignment="1"/>
    <xf numFmtId="167" fontId="15" fillId="4" borderId="1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center" wrapText="1" shrinkToFit="1"/>
    </xf>
    <xf numFmtId="166" fontId="4" fillId="2" borderId="1" xfId="1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 wrapText="1"/>
    </xf>
    <xf numFmtId="178" fontId="16" fillId="0" borderId="0" xfId="0" applyNumberFormat="1" applyFont="1" applyFill="1"/>
    <xf numFmtId="179" fontId="16" fillId="0" borderId="0" xfId="0" applyNumberFormat="1" applyFont="1" applyFill="1"/>
    <xf numFmtId="166" fontId="7" fillId="0" borderId="1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/>
    <xf numFmtId="167" fontId="5" fillId="0" borderId="1" xfId="1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 wrapText="1" shrinkToFit="1"/>
    </xf>
    <xf numFmtId="167" fontId="3" fillId="0" borderId="1" xfId="1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wrapText="1" shrinkToFit="1"/>
    </xf>
    <xf numFmtId="167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4" fillId="0" borderId="1" xfId="1" applyNumberFormat="1" applyFont="1" applyFill="1" applyBorder="1" applyAlignment="1"/>
    <xf numFmtId="41" fontId="5" fillId="0" borderId="5" xfId="1" applyNumberFormat="1" applyFont="1" applyFill="1" applyBorder="1" applyAlignment="1"/>
    <xf numFmtId="3" fontId="3" fillId="0" borderId="1" xfId="1" applyNumberFormat="1" applyFont="1" applyFill="1" applyBorder="1" applyAlignment="1"/>
    <xf numFmtId="3" fontId="6" fillId="9" borderId="1" xfId="1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3" fontId="38" fillId="4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 shrinkToFit="1"/>
    </xf>
    <xf numFmtId="49" fontId="38" fillId="4" borderId="1" xfId="0" applyNumberFormat="1" applyFont="1" applyFill="1" applyBorder="1" applyAlignment="1">
      <alignment horizontal="center" vertical="center" wrapText="1" shrinkToFit="1"/>
    </xf>
    <xf numFmtId="166" fontId="9" fillId="0" borderId="1" xfId="1" applyNumberFormat="1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1" fillId="9" borderId="1" xfId="0" applyNumberFormat="1" applyFont="1" applyFill="1" applyBorder="1" applyAlignment="1">
      <alignment horizontal="center"/>
    </xf>
    <xf numFmtId="0" fontId="41" fillId="9" borderId="1" xfId="0" applyFont="1" applyFill="1" applyBorder="1" applyAlignment="1">
      <alignment vertical="center" wrapText="1"/>
    </xf>
    <xf numFmtId="41" fontId="14" fillId="9" borderId="1" xfId="1" applyNumberFormat="1" applyFont="1" applyFill="1" applyBorder="1" applyAlignment="1"/>
    <xf numFmtId="170" fontId="14" fillId="9" borderId="1" xfId="1" applyNumberFormat="1" applyFont="1" applyFill="1" applyBorder="1" applyAlignment="1"/>
    <xf numFmtId="167" fontId="14" fillId="9" borderId="1" xfId="1" applyNumberFormat="1" applyFont="1" applyFill="1" applyBorder="1" applyAlignment="1">
      <alignment horizontal="center"/>
    </xf>
    <xf numFmtId="167" fontId="6" fillId="9" borderId="1" xfId="1" applyNumberFormat="1" applyFont="1" applyFill="1" applyBorder="1" applyAlignment="1"/>
    <xf numFmtId="49" fontId="39" fillId="2" borderId="1" xfId="0" applyNumberFormat="1" applyFont="1" applyFill="1" applyBorder="1" applyAlignment="1">
      <alignment horizontal="center"/>
    </xf>
    <xf numFmtId="170" fontId="39" fillId="2" borderId="1" xfId="1" applyNumberFormat="1" applyFont="1" applyFill="1" applyBorder="1" applyAlignment="1">
      <alignment horizontal="center"/>
    </xf>
    <xf numFmtId="170" fontId="39" fillId="2" borderId="1" xfId="1" applyNumberFormat="1" applyFont="1" applyFill="1" applyBorder="1" applyAlignment="1"/>
    <xf numFmtId="167" fontId="39" fillId="2" borderId="1" xfId="1" applyNumberFormat="1" applyFont="1" applyFill="1" applyBorder="1" applyAlignment="1">
      <alignment horizontal="center"/>
    </xf>
    <xf numFmtId="3" fontId="39" fillId="2" borderId="1" xfId="0" applyNumberFormat="1" applyFont="1" applyFill="1" applyBorder="1" applyAlignment="1"/>
    <xf numFmtId="167" fontId="39" fillId="2" borderId="1" xfId="1" applyNumberFormat="1" applyFont="1" applyFill="1" applyBorder="1" applyAlignment="1"/>
    <xf numFmtId="0" fontId="43" fillId="0" borderId="0" xfId="0" applyFont="1" applyFill="1"/>
    <xf numFmtId="0" fontId="43" fillId="2" borderId="0" xfId="0" applyFont="1" applyFill="1"/>
    <xf numFmtId="49" fontId="6" fillId="8" borderId="1" xfId="0" applyNumberFormat="1" applyFont="1" applyFill="1" applyBorder="1" applyAlignment="1">
      <alignment horizontal="left" wrapText="1" shrinkToFit="1"/>
    </xf>
    <xf numFmtId="41" fontId="6" fillId="8" borderId="1" xfId="1" applyNumberFormat="1" applyFont="1" applyFill="1" applyBorder="1" applyAlignment="1">
      <alignment horizontal="right"/>
    </xf>
    <xf numFmtId="3" fontId="6" fillId="8" borderId="1" xfId="1" applyNumberFormat="1" applyFont="1" applyFill="1" applyBorder="1" applyAlignment="1"/>
    <xf numFmtId="0" fontId="44" fillId="0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 shrinkToFit="1"/>
    </xf>
    <xf numFmtId="165" fontId="6" fillId="2" borderId="1" xfId="1" applyFont="1" applyFill="1" applyBorder="1" applyAlignment="1">
      <alignment vertical="center"/>
    </xf>
    <xf numFmtId="49" fontId="45" fillId="2" borderId="1" xfId="0" applyNumberFormat="1" applyFont="1" applyFill="1" applyBorder="1" applyAlignment="1">
      <alignment horizontal="center"/>
    </xf>
    <xf numFmtId="49" fontId="45" fillId="2" borderId="1" xfId="0" applyNumberFormat="1" applyFont="1" applyFill="1" applyBorder="1" applyAlignment="1">
      <alignment horizontal="left" wrapText="1" shrinkToFit="1"/>
    </xf>
    <xf numFmtId="166" fontId="46" fillId="2" borderId="1" xfId="1" applyNumberFormat="1" applyFont="1" applyFill="1" applyBorder="1" applyAlignment="1"/>
    <xf numFmtId="0" fontId="47" fillId="0" borderId="0" xfId="0" applyFont="1" applyFill="1"/>
    <xf numFmtId="0" fontId="47" fillId="2" borderId="0" xfId="0" applyFont="1" applyFill="1"/>
    <xf numFmtId="166" fontId="49" fillId="2" borderId="1" xfId="1" applyNumberFormat="1" applyFont="1" applyFill="1" applyBorder="1" applyAlignment="1"/>
    <xf numFmtId="49" fontId="48" fillId="2" borderId="1" xfId="0" applyNumberFormat="1" applyFont="1" applyFill="1" applyBorder="1" applyAlignment="1">
      <alignment horizontal="right"/>
    </xf>
    <xf numFmtId="49" fontId="50" fillId="2" borderId="1" xfId="0" applyNumberFormat="1" applyFont="1" applyFill="1" applyBorder="1" applyAlignment="1"/>
    <xf numFmtId="166" fontId="45" fillId="2" borderId="1" xfId="1" applyNumberFormat="1" applyFont="1" applyFill="1" applyBorder="1" applyAlignment="1"/>
    <xf numFmtId="0" fontId="46" fillId="0" borderId="0" xfId="0" applyFont="1" applyFill="1"/>
    <xf numFmtId="0" fontId="50" fillId="0" borderId="0" xfId="0" applyFont="1" applyFill="1"/>
    <xf numFmtId="0" fontId="50" fillId="2" borderId="0" xfId="0" applyFont="1" applyFill="1"/>
    <xf numFmtId="0" fontId="46" fillId="2" borderId="1" xfId="0" applyFont="1" applyFill="1" applyBorder="1" applyAlignment="1"/>
    <xf numFmtId="49" fontId="50" fillId="2" borderId="1" xfId="0" applyNumberFormat="1" applyFont="1" applyFill="1" applyBorder="1" applyAlignment="1">
      <alignment horizontal="left" vertical="center" wrapText="1" shrinkToFit="1"/>
    </xf>
    <xf numFmtId="0" fontId="47" fillId="0" borderId="0" xfId="0" applyFont="1" applyFill="1" applyBorder="1"/>
    <xf numFmtId="0" fontId="51" fillId="0" borderId="0" xfId="0" applyFont="1" applyFill="1" applyBorder="1"/>
    <xf numFmtId="0" fontId="51" fillId="0" borderId="0" xfId="0" applyFont="1" applyFill="1"/>
    <xf numFmtId="0" fontId="51" fillId="2" borderId="0" xfId="0" applyFont="1" applyFill="1"/>
    <xf numFmtId="49" fontId="33" fillId="2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left" wrapText="1" shrinkToFit="1"/>
    </xf>
    <xf numFmtId="166" fontId="12" fillId="2" borderId="1" xfId="1" applyNumberFormat="1" applyFont="1" applyFill="1" applyBorder="1" applyAlignment="1"/>
    <xf numFmtId="0" fontId="32" fillId="0" borderId="0" xfId="0" applyFont="1" applyFill="1"/>
    <xf numFmtId="0" fontId="52" fillId="0" borderId="0" xfId="0" applyFont="1" applyFill="1"/>
    <xf numFmtId="0" fontId="52" fillId="2" borderId="0" xfId="0" applyFont="1" applyFill="1"/>
    <xf numFmtId="168" fontId="5" fillId="2" borderId="1" xfId="1" applyNumberFormat="1" applyFont="1" applyFill="1" applyBorder="1" applyAlignment="1">
      <alignment horizontal="right"/>
    </xf>
    <xf numFmtId="167" fontId="5" fillId="2" borderId="1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right"/>
    </xf>
    <xf numFmtId="174" fontId="5" fillId="2" borderId="1" xfId="1" applyNumberFormat="1" applyFont="1" applyFill="1" applyBorder="1" applyAlignment="1"/>
    <xf numFmtId="3" fontId="5" fillId="2" borderId="1" xfId="1" applyNumberFormat="1" applyFont="1" applyFill="1" applyBorder="1" applyAlignment="1"/>
    <xf numFmtId="174" fontId="4" fillId="2" borderId="1" xfId="0" applyNumberFormat="1" applyFont="1" applyFill="1" applyBorder="1" applyAlignment="1">
      <alignment wrapText="1" shrinkToFit="1"/>
    </xf>
    <xf numFmtId="174" fontId="4" fillId="2" borderId="1" xfId="1" applyNumberFormat="1" applyFont="1" applyFill="1" applyBorder="1" applyAlignment="1"/>
    <xf numFmtId="167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/>
    <xf numFmtId="170" fontId="5" fillId="2" borderId="1" xfId="1" applyNumberFormat="1" applyFont="1" applyFill="1" applyBorder="1" applyAlignment="1"/>
    <xf numFmtId="3" fontId="3" fillId="2" borderId="1" xfId="1" applyNumberFormat="1" applyFont="1" applyFill="1" applyBorder="1" applyAlignment="1"/>
    <xf numFmtId="170" fontId="5" fillId="2" borderId="1" xfId="1" applyNumberFormat="1" applyFont="1" applyFill="1" applyBorder="1" applyAlignment="1">
      <alignment vertical="center"/>
    </xf>
    <xf numFmtId="167" fontId="5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vertical="center"/>
    </xf>
    <xf numFmtId="167" fontId="5" fillId="2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/>
    <xf numFmtId="0" fontId="1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5" fillId="4" borderId="1" xfId="0" applyNumberFormat="1" applyFont="1" applyFill="1" applyBorder="1" applyAlignment="1">
      <alignment horizontal="center" vertical="center" wrapText="1" shrinkToFit="1"/>
    </xf>
    <xf numFmtId="168" fontId="45" fillId="2" borderId="1" xfId="1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5" fillId="2" borderId="1" xfId="1" applyNumberFormat="1" applyFont="1" applyFill="1" applyBorder="1" applyAlignment="1">
      <alignment horizontal="center" vertical="center" wrapText="1"/>
    </xf>
    <xf numFmtId="41" fontId="53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>
      <alignment horizontal="center" vertical="center" wrapText="1"/>
    </xf>
    <xf numFmtId="41" fontId="45" fillId="2" borderId="1" xfId="1" applyNumberFormat="1" applyFont="1" applyFill="1" applyBorder="1" applyAlignment="1">
      <alignment horizontal="center" vertical="center"/>
    </xf>
    <xf numFmtId="41" fontId="45" fillId="2" borderId="1" xfId="1" applyNumberFormat="1" applyFont="1" applyFill="1" applyBorder="1" applyAlignment="1"/>
    <xf numFmtId="166" fontId="5" fillId="2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/>
    <xf numFmtId="3" fontId="4" fillId="2" borderId="1" xfId="0" applyNumberFormat="1" applyFont="1" applyFill="1" applyBorder="1" applyAlignment="1"/>
    <xf numFmtId="3" fontId="23" fillId="2" borderId="1" xfId="1" applyNumberFormat="1" applyFont="1" applyFill="1" applyBorder="1" applyAlignment="1"/>
    <xf numFmtId="166" fontId="7" fillId="2" borderId="1" xfId="1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/>
    <xf numFmtId="3" fontId="5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/>
    <xf numFmtId="3" fontId="37" fillId="2" borderId="1" xfId="1" applyNumberFormat="1" applyFont="1" applyFill="1" applyBorder="1" applyAlignment="1"/>
    <xf numFmtId="3" fontId="23" fillId="2" borderId="1" xfId="0" applyNumberFormat="1" applyFont="1" applyFill="1" applyBorder="1" applyAlignment="1">
      <alignment wrapText="1"/>
    </xf>
    <xf numFmtId="41" fontId="14" fillId="2" borderId="1" xfId="0" applyNumberFormat="1" applyFont="1" applyFill="1" applyBorder="1" applyAlignment="1">
      <alignment wrapText="1"/>
    </xf>
    <xf numFmtId="166" fontId="14" fillId="2" borderId="1" xfId="1" applyNumberFormat="1" applyFont="1" applyFill="1" applyBorder="1" applyAlignment="1">
      <alignment horizontal="center"/>
    </xf>
    <xf numFmtId="3" fontId="14" fillId="2" borderId="1" xfId="1" applyNumberFormat="1" applyFont="1" applyFill="1" applyBorder="1" applyAlignment="1"/>
    <xf numFmtId="166" fontId="12" fillId="2" borderId="1" xfId="1" applyNumberFormat="1" applyFont="1" applyFill="1" applyBorder="1" applyAlignment="1">
      <alignment horizontal="center"/>
    </xf>
    <xf numFmtId="3" fontId="12" fillId="2" borderId="1" xfId="1" applyNumberFormat="1" applyFont="1" applyFill="1" applyBorder="1" applyAlignment="1"/>
    <xf numFmtId="3" fontId="5" fillId="2" borderId="1" xfId="0" applyNumberFormat="1" applyFont="1" applyFill="1" applyBorder="1" applyAlignment="1"/>
    <xf numFmtId="3" fontId="23" fillId="2" borderId="1" xfId="0" applyNumberFormat="1" applyFont="1" applyFill="1" applyBorder="1" applyAlignment="1"/>
    <xf numFmtId="41" fontId="45" fillId="2" borderId="1" xfId="0" applyNumberFormat="1" applyFont="1" applyFill="1" applyBorder="1" applyAlignment="1">
      <alignment wrapText="1"/>
    </xf>
    <xf numFmtId="166" fontId="45" fillId="2" borderId="1" xfId="1" applyNumberFormat="1" applyFont="1" applyFill="1" applyBorder="1" applyAlignment="1">
      <alignment horizontal="center"/>
    </xf>
    <xf numFmtId="166" fontId="11" fillId="2" borderId="1" xfId="1" applyNumberFormat="1" applyFont="1" applyFill="1" applyBorder="1" applyAlignment="1">
      <alignment horizontal="center"/>
    </xf>
    <xf numFmtId="41" fontId="23" fillId="2" borderId="1" xfId="1" applyNumberFormat="1" applyFont="1" applyFill="1" applyBorder="1" applyAlignment="1"/>
    <xf numFmtId="3" fontId="24" fillId="2" borderId="1" xfId="1" applyNumberFormat="1" applyFont="1" applyFill="1" applyBorder="1" applyAlignment="1"/>
    <xf numFmtId="166" fontId="23" fillId="2" borderId="1" xfId="1" applyNumberFormat="1" applyFont="1" applyFill="1" applyBorder="1" applyAlignment="1">
      <alignment horizontal="center"/>
    </xf>
    <xf numFmtId="41" fontId="11" fillId="2" borderId="1" xfId="1" applyNumberFormat="1" applyFont="1" applyFill="1" applyBorder="1" applyAlignment="1"/>
    <xf numFmtId="41" fontId="11" fillId="2" borderId="1" xfId="1" applyNumberFormat="1" applyFont="1" applyFill="1" applyBorder="1"/>
    <xf numFmtId="166" fontId="54" fillId="2" borderId="1" xfId="1" applyNumberFormat="1" applyFont="1" applyFill="1" applyBorder="1" applyAlignment="1">
      <alignment horizontal="center"/>
    </xf>
    <xf numFmtId="41" fontId="12" fillId="2" borderId="1" xfId="1" applyNumberFormat="1" applyFont="1" applyFill="1" applyBorder="1"/>
    <xf numFmtId="49" fontId="39" fillId="8" borderId="1" xfId="0" applyNumberFormat="1" applyFont="1" applyFill="1" applyBorder="1" applyAlignment="1">
      <alignment horizontal="left" wrapText="1" shrinkToFit="1"/>
    </xf>
    <xf numFmtId="41" fontId="6" fillId="8" borderId="1" xfId="0" applyNumberFormat="1" applyFont="1" applyFill="1" applyBorder="1" applyAlignment="1">
      <alignment wrapText="1"/>
    </xf>
    <xf numFmtId="166" fontId="6" fillId="8" borderId="1" xfId="1" applyNumberFormat="1" applyFont="1" applyFill="1" applyBorder="1" applyAlignment="1">
      <alignment horizontal="center"/>
    </xf>
    <xf numFmtId="166" fontId="6" fillId="8" borderId="1" xfId="1" applyNumberFormat="1" applyFont="1" applyFill="1" applyBorder="1" applyAlignment="1"/>
    <xf numFmtId="49" fontId="39" fillId="8" borderId="1" xfId="0" applyNumberFormat="1" applyFont="1" applyFill="1" applyBorder="1" applyAlignment="1">
      <alignment horizontal="center"/>
    </xf>
    <xf numFmtId="41" fontId="6" fillId="8" borderId="1" xfId="1" applyNumberFormat="1" applyFont="1" applyFill="1" applyBorder="1" applyAlignment="1"/>
    <xf numFmtId="49" fontId="39" fillId="8" borderId="1" xfId="0" applyNumberFormat="1" applyFont="1" applyFill="1" applyBorder="1" applyAlignment="1">
      <alignment horizontal="right"/>
    </xf>
    <xf numFmtId="3" fontId="6" fillId="8" borderId="1" xfId="0" applyNumberFormat="1" applyFont="1" applyFill="1" applyBorder="1" applyAlignment="1"/>
    <xf numFmtId="41" fontId="27" fillId="2" borderId="1" xfId="0" applyNumberFormat="1" applyFont="1" applyFill="1" applyBorder="1" applyAlignment="1">
      <alignment wrapText="1"/>
    </xf>
    <xf numFmtId="41" fontId="29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/>
    <xf numFmtId="49" fontId="15" fillId="2" borderId="1" xfId="0" applyNumberFormat="1" applyFont="1" applyFill="1" applyBorder="1" applyAlignment="1">
      <alignment horizontal="left" vertical="center" wrapText="1" shrinkToFit="1"/>
    </xf>
    <xf numFmtId="166" fontId="5" fillId="2" borderId="1" xfId="1" applyNumberFormat="1" applyFont="1" applyFill="1" applyBorder="1" applyAlignment="1"/>
    <xf numFmtId="166" fontId="7" fillId="2" borderId="1" xfId="1" applyNumberFormat="1" applyFont="1" applyFill="1" applyBorder="1" applyAlignment="1"/>
    <xf numFmtId="49" fontId="29" fillId="2" borderId="4" xfId="0" applyNumberFormat="1" applyFont="1" applyFill="1" applyBorder="1" applyAlignment="1">
      <alignment horizontal="right"/>
    </xf>
    <xf numFmtId="166" fontId="25" fillId="2" borderId="4" xfId="1" applyNumberFormat="1" applyFont="1" applyFill="1" applyBorder="1" applyAlignment="1">
      <alignment horizontal="center" wrapText="1"/>
    </xf>
    <xf numFmtId="41" fontId="25" fillId="2" borderId="4" xfId="0" applyNumberFormat="1" applyFont="1" applyFill="1" applyBorder="1" applyAlignment="1">
      <alignment wrapText="1"/>
    </xf>
    <xf numFmtId="166" fontId="25" fillId="2" borderId="4" xfId="1" applyNumberFormat="1" applyFont="1" applyFill="1" applyBorder="1" applyAlignment="1">
      <alignment horizontal="center"/>
    </xf>
    <xf numFmtId="166" fontId="5" fillId="2" borderId="4" xfId="1" applyNumberFormat="1" applyFont="1" applyFill="1" applyBorder="1" applyAlignment="1"/>
    <xf numFmtId="166" fontId="27" fillId="2" borderId="1" xfId="1" applyNumberFormat="1" applyFont="1" applyFill="1" applyBorder="1" applyAlignment="1">
      <alignment horizontal="center"/>
    </xf>
    <xf numFmtId="166" fontId="25" fillId="2" borderId="1" xfId="1" applyNumberFormat="1" applyFont="1" applyFill="1" applyBorder="1" applyAlignment="1"/>
    <xf numFmtId="166" fontId="26" fillId="2" borderId="1" xfId="1" applyNumberFormat="1" applyFont="1" applyFill="1" applyBorder="1" applyAlignment="1"/>
    <xf numFmtId="41" fontId="26" fillId="2" borderId="1" xfId="1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1" fontId="5" fillId="2" borderId="1" xfId="1" applyNumberFormat="1" applyFont="1" applyFill="1" applyBorder="1" applyAlignment="1"/>
    <xf numFmtId="167" fontId="3" fillId="2" borderId="1" xfId="1" applyNumberFormat="1" applyFont="1" applyFill="1" applyBorder="1" applyAlignment="1"/>
    <xf numFmtId="49" fontId="15" fillId="2" borderId="1" xfId="0" applyNumberFormat="1" applyFont="1" applyFill="1" applyBorder="1" applyAlignment="1">
      <alignment horizontal="left" wrapText="1" shrinkToFit="1"/>
    </xf>
    <xf numFmtId="0" fontId="15" fillId="2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wrapText="1" shrinkToFit="1"/>
    </xf>
    <xf numFmtId="0" fontId="27" fillId="0" borderId="1" xfId="0" applyFont="1" applyBorder="1" applyAlignment="1">
      <alignment horizontal="center" wrapText="1"/>
    </xf>
    <xf numFmtId="0" fontId="55" fillId="4" borderId="1" xfId="0" applyFont="1" applyFill="1" applyBorder="1" applyAlignment="1">
      <alignment horizontal="left" vertical="center" wrapText="1"/>
    </xf>
    <xf numFmtId="49" fontId="15" fillId="2" borderId="4" xfId="0" applyNumberFormat="1" applyFont="1" applyFill="1" applyBorder="1" applyAlignment="1">
      <alignment horizontal="left" wrapText="1"/>
    </xf>
    <xf numFmtId="0" fontId="2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55" fillId="4" borderId="1" xfId="0" applyNumberFormat="1" applyFont="1" applyFill="1" applyBorder="1" applyAlignment="1">
      <alignment horizontal="left" wrapText="1" shrinkToFit="1"/>
    </xf>
    <xf numFmtId="49" fontId="55" fillId="4" borderId="1" xfId="0" applyNumberFormat="1" applyFont="1" applyFill="1" applyBorder="1" applyAlignment="1">
      <alignment vertical="center" wrapText="1" shrinkToFit="1"/>
    </xf>
    <xf numFmtId="0" fontId="55" fillId="4" borderId="1" xfId="0" applyFont="1" applyFill="1" applyBorder="1" applyAlignment="1">
      <alignment horizontal="center"/>
    </xf>
    <xf numFmtId="0" fontId="55" fillId="4" borderId="1" xfId="0" applyFont="1" applyFill="1" applyBorder="1" applyAlignment="1">
      <alignment horizontal="left" wrapText="1" shrinkToFit="1"/>
    </xf>
    <xf numFmtId="0" fontId="55" fillId="4" borderId="1" xfId="0" applyFont="1" applyFill="1" applyBorder="1" applyAlignment="1">
      <alignment horizontal="center" vertical="center"/>
    </xf>
    <xf numFmtId="41" fontId="55" fillId="4" borderId="1" xfId="0" applyNumberFormat="1" applyFont="1" applyFill="1" applyBorder="1" applyAlignment="1"/>
    <xf numFmtId="166" fontId="55" fillId="4" borderId="1" xfId="1" applyNumberFormat="1" applyFont="1" applyFill="1" applyBorder="1" applyAlignment="1">
      <alignment horizontal="center"/>
    </xf>
    <xf numFmtId="3" fontId="55" fillId="4" borderId="1" xfId="0" applyNumberFormat="1" applyFont="1" applyFill="1" applyBorder="1" applyAlignment="1"/>
    <xf numFmtId="0" fontId="56" fillId="0" borderId="0" xfId="0" applyFont="1" applyFill="1"/>
    <xf numFmtId="0" fontId="56" fillId="2" borderId="0" xfId="0" applyFont="1" applyFill="1"/>
    <xf numFmtId="0" fontId="3" fillId="0" borderId="1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3" fontId="27" fillId="0" borderId="0" xfId="0" applyNumberFormat="1" applyFont="1" applyFill="1"/>
    <xf numFmtId="165" fontId="35" fillId="0" borderId="0" xfId="1" applyFont="1" applyFill="1"/>
    <xf numFmtId="164" fontId="35" fillId="0" borderId="0" xfId="0" applyNumberFormat="1" applyFont="1" applyFill="1"/>
    <xf numFmtId="176" fontId="57" fillId="10" borderId="0" xfId="0" applyNumberFormat="1" applyFont="1" applyFill="1"/>
    <xf numFmtId="177" fontId="57" fillId="10" borderId="0" xfId="0" applyNumberFormat="1" applyFont="1" applyFill="1"/>
    <xf numFmtId="2" fontId="25" fillId="10" borderId="0" xfId="0" applyNumberFormat="1" applyFont="1" applyFill="1"/>
    <xf numFmtId="0" fontId="57" fillId="10" borderId="0" xfId="0" applyFont="1" applyFill="1"/>
    <xf numFmtId="41" fontId="27" fillId="0" borderId="0" xfId="0" applyNumberFormat="1" applyFont="1" applyFill="1"/>
    <xf numFmtId="41" fontId="27" fillId="0" borderId="0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168" fontId="5" fillId="4" borderId="1" xfId="1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left" wrapText="1"/>
    </xf>
    <xf numFmtId="0" fontId="5" fillId="7" borderId="0" xfId="0" applyFont="1" applyFill="1"/>
    <xf numFmtId="49" fontId="5" fillId="7" borderId="1" xfId="0" applyNumberFormat="1" applyFont="1" applyFill="1" applyBorder="1" applyAlignment="1">
      <alignment horizontal="left" wrapText="1" shrinkToFit="1"/>
    </xf>
    <xf numFmtId="168" fontId="5" fillId="7" borderId="1" xfId="1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left" wrapText="1" shrinkToFit="1"/>
    </xf>
    <xf numFmtId="0" fontId="9" fillId="11" borderId="1" xfId="0" applyFont="1" applyFill="1" applyBorder="1"/>
    <xf numFmtId="165" fontId="5" fillId="11" borderId="1" xfId="0" applyNumberFormat="1" applyFont="1" applyFill="1" applyBorder="1"/>
    <xf numFmtId="165" fontId="5" fillId="11" borderId="1" xfId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wrapText="1"/>
    </xf>
    <xf numFmtId="41" fontId="3" fillId="2" borderId="1" xfId="1" applyNumberFormat="1" applyFont="1" applyFill="1" applyBorder="1" applyAlignment="1">
      <alignment vertical="center"/>
    </xf>
    <xf numFmtId="41" fontId="26" fillId="2" borderId="1" xfId="1" applyNumberFormat="1" applyFont="1" applyFill="1" applyBorder="1" applyAlignment="1">
      <alignment vertical="center"/>
    </xf>
    <xf numFmtId="41" fontId="26" fillId="2" borderId="1" xfId="0" applyNumberFormat="1" applyFont="1" applyFill="1" applyBorder="1" applyAlignment="1"/>
    <xf numFmtId="41" fontId="27" fillId="2" borderId="1" xfId="1" applyNumberFormat="1" applyFont="1" applyFill="1" applyBorder="1" applyAlignment="1"/>
    <xf numFmtId="41" fontId="29" fillId="2" borderId="1" xfId="1" applyNumberFormat="1" applyFont="1" applyFill="1" applyBorder="1" applyAlignment="1"/>
    <xf numFmtId="41" fontId="25" fillId="0" borderId="0" xfId="0" applyNumberFormat="1" applyFont="1" applyFill="1"/>
    <xf numFmtId="2" fontId="27" fillId="0" borderId="0" xfId="0" applyNumberFormat="1" applyFont="1" applyFill="1"/>
    <xf numFmtId="1" fontId="27" fillId="0" borderId="0" xfId="0" applyNumberFormat="1" applyFont="1" applyFill="1"/>
    <xf numFmtId="176" fontId="57" fillId="0" borderId="0" xfId="0" applyNumberFormat="1" applyFont="1" applyFill="1"/>
    <xf numFmtId="177" fontId="57" fillId="0" borderId="0" xfId="0" applyNumberFormat="1" applyFont="1" applyFill="1"/>
    <xf numFmtId="2" fontId="25" fillId="0" borderId="0" xfId="0" applyNumberFormat="1" applyFont="1" applyFill="1"/>
    <xf numFmtId="0" fontId="57" fillId="0" borderId="0" xfId="0" applyFont="1" applyFill="1"/>
    <xf numFmtId="3" fontId="15" fillId="0" borderId="0" xfId="0" applyNumberFormat="1" applyFont="1" applyFill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3" fontId="19" fillId="4" borderId="1" xfId="0" applyNumberFormat="1" applyFont="1" applyFill="1" applyBorder="1" applyAlignment="1">
      <alignment horizontal="right"/>
    </xf>
    <xf numFmtId="167" fontId="19" fillId="4" borderId="1" xfId="1" applyNumberFormat="1" applyFont="1" applyFill="1" applyBorder="1" applyAlignment="1">
      <alignment horizontal="right"/>
    </xf>
    <xf numFmtId="3" fontId="14" fillId="2" borderId="1" xfId="1" applyNumberFormat="1" applyFont="1" applyFill="1" applyBorder="1" applyAlignment="1">
      <alignment horizontal="right"/>
    </xf>
    <xf numFmtId="167" fontId="14" fillId="2" borderId="1" xfId="1" applyNumberFormat="1" applyFont="1" applyFill="1" applyBorder="1" applyAlignment="1">
      <alignment horizontal="right"/>
    </xf>
    <xf numFmtId="167" fontId="14" fillId="2" borderId="1" xfId="1" applyNumberFormat="1" applyFont="1" applyFill="1" applyBorder="1" applyAlignment="1"/>
    <xf numFmtId="167" fontId="12" fillId="2" borderId="1" xfId="1" applyNumberFormat="1" applyFont="1" applyFill="1" applyBorder="1" applyAlignment="1"/>
    <xf numFmtId="3" fontId="6" fillId="2" borderId="1" xfId="1" applyNumberFormat="1" applyFont="1" applyFill="1" applyBorder="1" applyAlignment="1"/>
    <xf numFmtId="3" fontId="6" fillId="2" borderId="1" xfId="1" applyNumberFormat="1" applyFont="1" applyFill="1" applyBorder="1" applyAlignment="1">
      <alignment vertical="center"/>
    </xf>
    <xf numFmtId="170" fontId="19" fillId="4" borderId="1" xfId="1" applyNumberFormat="1" applyFont="1" applyFill="1" applyBorder="1" applyAlignment="1"/>
    <xf numFmtId="167" fontId="19" fillId="4" borderId="1" xfId="1" applyNumberFormat="1" applyFont="1" applyFill="1" applyBorder="1" applyAlignment="1"/>
    <xf numFmtId="41" fontId="14" fillId="0" borderId="1" xfId="1" applyNumberFormat="1" applyFont="1" applyFill="1" applyBorder="1" applyAlignment="1"/>
    <xf numFmtId="167" fontId="14" fillId="0" borderId="1" xfId="1" applyNumberFormat="1" applyFont="1" applyFill="1" applyBorder="1" applyAlignment="1">
      <alignment horizontal="center"/>
    </xf>
    <xf numFmtId="41" fontId="6" fillId="2" borderId="1" xfId="1" applyNumberFormat="1" applyFont="1" applyFill="1" applyBorder="1" applyAlignment="1">
      <alignment horizontal="right"/>
    </xf>
    <xf numFmtId="167" fontId="6" fillId="0" borderId="1" xfId="1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/>
    <xf numFmtId="167" fontId="12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/>
    <xf numFmtId="41" fontId="14" fillId="0" borderId="1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/>
    <xf numFmtId="41" fontId="14" fillId="2" borderId="1" xfId="1" applyNumberFormat="1" applyFont="1" applyFill="1" applyBorder="1" applyAlignment="1"/>
    <xf numFmtId="167" fontId="6" fillId="2" borderId="1" xfId="1" applyNumberFormat="1" applyFont="1" applyFill="1" applyBorder="1" applyAlignment="1"/>
    <xf numFmtId="3" fontId="19" fillId="4" borderId="1" xfId="1" applyNumberFormat="1" applyFont="1" applyFill="1" applyBorder="1" applyAlignment="1"/>
    <xf numFmtId="167" fontId="31" fillId="2" borderId="1" xfId="1" applyNumberFormat="1" applyFont="1" applyFill="1" applyBorder="1" applyAlignment="1"/>
    <xf numFmtId="166" fontId="19" fillId="4" borderId="1" xfId="1" applyNumberFormat="1" applyFont="1" applyFill="1" applyBorder="1" applyAlignment="1"/>
    <xf numFmtId="41" fontId="31" fillId="2" borderId="1" xfId="1" applyNumberFormat="1" applyFont="1" applyFill="1" applyBorder="1" applyAlignment="1"/>
    <xf numFmtId="41" fontId="31" fillId="2" borderId="1" xfId="0" applyNumberFormat="1" applyFont="1" applyFill="1" applyBorder="1" applyAlignment="1">
      <alignment wrapText="1"/>
    </xf>
    <xf numFmtId="166" fontId="31" fillId="2" borderId="1" xfId="1" applyNumberFormat="1" applyFont="1" applyFill="1" applyBorder="1" applyAlignment="1">
      <alignment horizontal="center"/>
    </xf>
    <xf numFmtId="41" fontId="33" fillId="2" borderId="1" xfId="1" applyNumberFormat="1" applyFont="1" applyFill="1" applyBorder="1" applyAlignment="1"/>
    <xf numFmtId="41" fontId="33" fillId="2" borderId="1" xfId="0" applyNumberFormat="1" applyFont="1" applyFill="1" applyBorder="1" applyAlignment="1"/>
    <xf numFmtId="41" fontId="32" fillId="2" borderId="1" xfId="0" applyNumberFormat="1" applyFont="1" applyFill="1" applyBorder="1" applyAlignment="1">
      <alignment wrapText="1"/>
    </xf>
    <xf numFmtId="166" fontId="58" fillId="2" borderId="1" xfId="1" applyNumberFormat="1" applyFont="1" applyFill="1" applyBorder="1" applyAlignment="1"/>
    <xf numFmtId="41" fontId="39" fillId="2" borderId="1" xfId="1" applyNumberFormat="1" applyFont="1" applyFill="1" applyBorder="1" applyAlignment="1"/>
    <xf numFmtId="41" fontId="39" fillId="2" borderId="1" xfId="0" applyNumberFormat="1" applyFont="1" applyFill="1" applyBorder="1" applyAlignment="1">
      <alignment wrapText="1"/>
    </xf>
    <xf numFmtId="41" fontId="33" fillId="2" borderId="1" xfId="0" applyNumberFormat="1" applyFont="1" applyFill="1" applyBorder="1" applyAlignment="1">
      <alignment wrapText="1"/>
    </xf>
    <xf numFmtId="41" fontId="31" fillId="2" borderId="4" xfId="0" applyNumberFormat="1" applyFont="1" applyFill="1" applyBorder="1" applyAlignment="1">
      <alignment wrapText="1"/>
    </xf>
    <xf numFmtId="166" fontId="14" fillId="2" borderId="4" xfId="1" applyNumberFormat="1" applyFont="1" applyFill="1" applyBorder="1" applyAlignment="1"/>
    <xf numFmtId="166" fontId="31" fillId="2" borderId="1" xfId="1" applyNumberFormat="1" applyFont="1" applyFill="1" applyBorder="1" applyAlignment="1"/>
    <xf numFmtId="3" fontId="33" fillId="2" borderId="1" xfId="1" applyNumberFormat="1" applyFont="1" applyFill="1" applyBorder="1" applyAlignment="1"/>
    <xf numFmtId="3" fontId="6" fillId="2" borderId="1" xfId="0" applyNumberFormat="1" applyFont="1" applyFill="1" applyBorder="1" applyAlignment="1"/>
    <xf numFmtId="166" fontId="6" fillId="2" borderId="1" xfId="1" applyNumberFormat="1" applyFont="1" applyFill="1" applyBorder="1" applyAlignment="1"/>
    <xf numFmtId="3" fontId="59" fillId="4" borderId="1" xfId="0" applyNumberFormat="1" applyFont="1" applyFill="1" applyBorder="1" applyAlignment="1"/>
    <xf numFmtId="166" fontId="59" fillId="4" borderId="1" xfId="1" applyNumberFormat="1" applyFont="1" applyFill="1" applyBorder="1" applyAlignment="1">
      <alignment horizontal="center"/>
    </xf>
    <xf numFmtId="3" fontId="39" fillId="0" borderId="0" xfId="0" applyNumberFormat="1" applyFont="1" applyFill="1"/>
    <xf numFmtId="166" fontId="40" fillId="0" borderId="0" xfId="1" applyNumberFormat="1" applyFont="1" applyFill="1"/>
    <xf numFmtId="165" fontId="40" fillId="0" borderId="0" xfId="1" applyFont="1" applyFill="1"/>
    <xf numFmtId="164" fontId="40" fillId="0" borderId="0" xfId="0" applyNumberFormat="1" applyFont="1" applyFill="1"/>
    <xf numFmtId="41" fontId="29" fillId="2" borderId="1" xfId="1" applyNumberFormat="1" applyFont="1" applyFill="1" applyBorder="1"/>
    <xf numFmtId="49" fontId="4" fillId="2" borderId="1" xfId="0" applyNumberFormat="1" applyFont="1" applyFill="1" applyBorder="1" applyAlignment="1">
      <alignment horizontal="left" vertical="top" wrapText="1" shrinkToFit="1"/>
    </xf>
    <xf numFmtId="49" fontId="29" fillId="8" borderId="4" xfId="0" applyNumberFormat="1" applyFont="1" applyFill="1" applyBorder="1" applyAlignment="1">
      <alignment horizontal="right"/>
    </xf>
    <xf numFmtId="49" fontId="15" fillId="8" borderId="4" xfId="0" applyNumberFormat="1" applyFont="1" applyFill="1" applyBorder="1" applyAlignment="1">
      <alignment horizontal="left" wrapText="1"/>
    </xf>
    <xf numFmtId="166" fontId="25" fillId="8" borderId="4" xfId="1" applyNumberFormat="1" applyFont="1" applyFill="1" applyBorder="1" applyAlignment="1">
      <alignment horizontal="center" wrapText="1"/>
    </xf>
    <xf numFmtId="41" fontId="25" fillId="8" borderId="4" xfId="0" applyNumberFormat="1" applyFont="1" applyFill="1" applyBorder="1" applyAlignment="1">
      <alignment wrapText="1"/>
    </xf>
    <xf numFmtId="166" fontId="25" fillId="8" borderId="4" xfId="1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170" fontId="60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 horizontal="left"/>
    </xf>
    <xf numFmtId="175" fontId="60" fillId="0" borderId="0" xfId="0" applyNumberFormat="1" applyFont="1" applyFill="1" applyAlignment="1">
      <alignment horizontal="left"/>
    </xf>
    <xf numFmtId="41" fontId="60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left"/>
    </xf>
    <xf numFmtId="41" fontId="60" fillId="0" borderId="0" xfId="0" applyNumberFormat="1" applyFont="1" applyFill="1" applyAlignment="1">
      <alignment horizontal="left"/>
    </xf>
    <xf numFmtId="3" fontId="64" fillId="4" borderId="1" xfId="1" applyNumberFormat="1" applyFont="1" applyFill="1" applyBorder="1" applyAlignment="1"/>
    <xf numFmtId="41" fontId="65" fillId="2" borderId="1" xfId="0" applyNumberFormat="1" applyFont="1" applyFill="1" applyBorder="1" applyAlignment="1">
      <alignment wrapText="1"/>
    </xf>
    <xf numFmtId="41" fontId="67" fillId="2" borderId="1" xfId="0" applyNumberFormat="1" applyFont="1" applyFill="1" applyBorder="1" applyAlignment="1">
      <alignment wrapText="1"/>
    </xf>
    <xf numFmtId="41" fontId="68" fillId="2" borderId="1" xfId="0" applyNumberFormat="1" applyFont="1" applyFill="1" applyBorder="1" applyAlignment="1">
      <alignment wrapText="1"/>
    </xf>
    <xf numFmtId="41" fontId="66" fillId="2" borderId="1" xfId="0" applyNumberFormat="1" applyFont="1" applyFill="1" applyBorder="1" applyAlignment="1">
      <alignment wrapText="1"/>
    </xf>
    <xf numFmtId="0" fontId="25" fillId="8" borderId="1" xfId="0" applyFont="1" applyFill="1" applyBorder="1" applyAlignment="1"/>
    <xf numFmtId="49" fontId="15" fillId="8" borderId="1" xfId="0" applyNumberFormat="1" applyFont="1" applyFill="1" applyBorder="1" applyAlignment="1">
      <alignment horizontal="left" vertical="center" wrapText="1" shrinkToFit="1"/>
    </xf>
    <xf numFmtId="168" fontId="25" fillId="8" borderId="1" xfId="1" applyNumberFormat="1" applyFont="1" applyFill="1" applyBorder="1" applyAlignment="1">
      <alignment horizontal="center" vertical="center"/>
    </xf>
    <xf numFmtId="41" fontId="65" fillId="8" borderId="1" xfId="1" applyNumberFormat="1" applyFont="1" applyFill="1" applyBorder="1" applyAlignment="1"/>
    <xf numFmtId="41" fontId="69" fillId="8" borderId="1" xfId="1" applyNumberFormat="1" applyFont="1" applyFill="1" applyBorder="1" applyAlignment="1"/>
    <xf numFmtId="41" fontId="69" fillId="2" borderId="1" xfId="0" applyNumberFormat="1" applyFont="1" applyFill="1" applyBorder="1" applyAlignment="1">
      <alignment wrapText="1"/>
    </xf>
    <xf numFmtId="41" fontId="70" fillId="2" borderId="1" xfId="0" applyNumberFormat="1" applyFont="1" applyFill="1" applyBorder="1" applyAlignment="1">
      <alignment wrapText="1"/>
    </xf>
    <xf numFmtId="41" fontId="71" fillId="2" borderId="1" xfId="0" applyNumberFormat="1" applyFont="1" applyFill="1" applyBorder="1" applyAlignment="1">
      <alignment wrapText="1"/>
    </xf>
    <xf numFmtId="41" fontId="72" fillId="2" borderId="1" xfId="0" applyNumberFormat="1" applyFont="1" applyFill="1" applyBorder="1" applyAlignment="1">
      <alignment wrapText="1"/>
    </xf>
    <xf numFmtId="41" fontId="16" fillId="0" borderId="0" xfId="0" applyNumberFormat="1" applyFont="1" applyFill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41" fontId="25" fillId="8" borderId="1" xfId="1" applyNumberFormat="1" applyFont="1" applyFill="1" applyBorder="1" applyAlignment="1"/>
    <xf numFmtId="166" fontId="5" fillId="8" borderId="1" xfId="1" applyNumberFormat="1" applyFont="1" applyFill="1" applyBorder="1" applyAlignment="1"/>
    <xf numFmtId="166" fontId="5" fillId="8" borderId="4" xfId="1" applyNumberFormat="1" applyFont="1" applyFill="1" applyBorder="1" applyAlignment="1"/>
    <xf numFmtId="166" fontId="27" fillId="2" borderId="1" xfId="1" applyNumberFormat="1" applyFont="1" applyFill="1" applyBorder="1" applyAlignment="1"/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166" fontId="5" fillId="4" borderId="1" xfId="1" applyNumberFormat="1" applyFont="1" applyFill="1" applyBorder="1"/>
    <xf numFmtId="173" fontId="5" fillId="4" borderId="1" xfId="0" applyNumberFormat="1" applyFont="1" applyFill="1" applyBorder="1" applyAlignment="1">
      <alignment horizontal="right"/>
    </xf>
    <xf numFmtId="49" fontId="3" fillId="9" borderId="1" xfId="0" applyNumberFormat="1" applyFont="1" applyFill="1" applyBorder="1" applyAlignment="1">
      <alignment horizontal="right"/>
    </xf>
    <xf numFmtId="49" fontId="3" fillId="9" borderId="1" xfId="0" applyNumberFormat="1" applyFont="1" applyFill="1" applyBorder="1" applyAlignment="1">
      <alignment horizontal="left" wrapText="1" shrinkToFit="1"/>
    </xf>
    <xf numFmtId="166" fontId="4" fillId="9" borderId="1" xfId="1" applyNumberFormat="1" applyFont="1" applyFill="1" applyBorder="1" applyAlignment="1">
      <alignment horizontal="center"/>
    </xf>
    <xf numFmtId="41" fontId="3" fillId="9" borderId="1" xfId="1" applyNumberFormat="1" applyFont="1" applyFill="1" applyBorder="1"/>
    <xf numFmtId="166" fontId="3" fillId="9" borderId="1" xfId="1" applyNumberFormat="1" applyFont="1" applyFill="1" applyBorder="1"/>
    <xf numFmtId="173" fontId="3" fillId="9" borderId="1" xfId="1" applyNumberFormat="1" applyFont="1" applyFill="1" applyBorder="1" applyAlignment="1">
      <alignment horizontal="right"/>
    </xf>
    <xf numFmtId="173" fontId="3" fillId="2" borderId="1" xfId="1" applyNumberFormat="1" applyFont="1" applyFill="1" applyBorder="1" applyAlignment="1">
      <alignment horizontal="right"/>
    </xf>
    <xf numFmtId="173" fontId="4" fillId="2" borderId="1" xfId="1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/>
    </xf>
    <xf numFmtId="0" fontId="38" fillId="2" borderId="1" xfId="0" applyFont="1" applyFill="1" applyBorder="1" applyAlignment="1">
      <alignment vertical="center" wrapText="1"/>
    </xf>
    <xf numFmtId="49" fontId="3" fillId="9" borderId="4" xfId="0" applyNumberFormat="1" applyFont="1" applyFill="1" applyBorder="1" applyAlignment="1">
      <alignment horizontal="right"/>
    </xf>
    <xf numFmtId="49" fontId="3" fillId="9" borderId="4" xfId="0" applyNumberFormat="1" applyFont="1" applyFill="1" applyBorder="1" applyAlignment="1">
      <alignment horizontal="left" wrapText="1" shrinkToFit="1"/>
    </xf>
    <xf numFmtId="49" fontId="4" fillId="9" borderId="1" xfId="0" applyNumberFormat="1" applyFont="1" applyFill="1" applyBorder="1" applyAlignment="1">
      <alignment horizontal="left" wrapText="1" shrinkToFit="1"/>
    </xf>
    <xf numFmtId="170" fontId="3" fillId="9" borderId="1" xfId="1" applyNumberFormat="1" applyFont="1" applyFill="1" applyBorder="1"/>
    <xf numFmtId="49" fontId="4" fillId="0" borderId="1" xfId="0" applyNumberFormat="1" applyFont="1" applyFill="1" applyBorder="1" applyAlignment="1">
      <alignment horizontal="center" wrapText="1" shrinkToFit="1"/>
    </xf>
    <xf numFmtId="173" fontId="3" fillId="0" borderId="1" xfId="1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49" fontId="7" fillId="4" borderId="1" xfId="0" applyNumberFormat="1" applyFont="1" applyFill="1" applyBorder="1" applyAlignment="1">
      <alignment horizontal="center" wrapText="1" shrinkToFit="1"/>
    </xf>
    <xf numFmtId="3" fontId="5" fillId="4" borderId="1" xfId="1" applyNumberFormat="1" applyFont="1" applyFill="1" applyBorder="1" applyAlignment="1">
      <alignment horizontal="right"/>
    </xf>
    <xf numFmtId="0" fontId="5" fillId="0" borderId="0" xfId="0" applyFont="1" applyFill="1"/>
    <xf numFmtId="49" fontId="5" fillId="9" borderId="1" xfId="0" applyNumberFormat="1" applyFont="1" applyFill="1" applyBorder="1" applyAlignment="1">
      <alignment horizontal="right"/>
    </xf>
    <xf numFmtId="49" fontId="5" fillId="9" borderId="1" xfId="0" applyNumberFormat="1" applyFont="1" applyFill="1" applyBorder="1" applyAlignment="1">
      <alignment horizontal="left" wrapText="1" shrinkToFit="1"/>
    </xf>
    <xf numFmtId="3" fontId="5" fillId="9" borderId="1" xfId="1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left" wrapText="1" shrinkToFit="1"/>
    </xf>
    <xf numFmtId="49" fontId="15" fillId="9" borderId="1" xfId="0" applyNumberFormat="1" applyFont="1" applyFill="1" applyBorder="1" applyAlignment="1">
      <alignment horizontal="left" wrapText="1" shrinkToFit="1"/>
    </xf>
    <xf numFmtId="166" fontId="7" fillId="9" borderId="1" xfId="1" applyNumberFormat="1" applyFont="1" applyFill="1" applyBorder="1" applyAlignment="1">
      <alignment horizontal="center"/>
    </xf>
    <xf numFmtId="0" fontId="62" fillId="2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7" fillId="0" borderId="5" xfId="1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166" fontId="38" fillId="2" borderId="1" xfId="1" applyNumberFormat="1" applyFont="1" applyFill="1" applyBorder="1" applyAlignment="1">
      <alignment horizontal="center" wrapText="1"/>
    </xf>
    <xf numFmtId="49" fontId="5" fillId="8" borderId="1" xfId="0" applyNumberFormat="1" applyFont="1" applyFill="1" applyBorder="1" applyAlignment="1">
      <alignment horizontal="center"/>
    </xf>
    <xf numFmtId="49" fontId="15" fillId="8" borderId="1" xfId="0" applyNumberFormat="1" applyFont="1" applyFill="1" applyBorder="1" applyAlignment="1">
      <alignment horizontal="left" wrapText="1" shrinkToFit="1"/>
    </xf>
    <xf numFmtId="41" fontId="3" fillId="8" borderId="1" xfId="1" applyNumberFormat="1" applyFont="1" applyFill="1" applyBorder="1"/>
    <xf numFmtId="166" fontId="29" fillId="8" borderId="1" xfId="1" applyNumberFormat="1" applyFont="1" applyFill="1" applyBorder="1" applyAlignment="1">
      <alignment horizontal="center"/>
    </xf>
    <xf numFmtId="166" fontId="26" fillId="8" borderId="1" xfId="1" applyNumberFormat="1" applyFont="1" applyFill="1" applyBorder="1" applyAlignment="1"/>
    <xf numFmtId="41" fontId="5" fillId="8" borderId="1" xfId="1" applyNumberFormat="1" applyFont="1" applyFill="1" applyBorder="1"/>
    <xf numFmtId="166" fontId="25" fillId="8" borderId="1" xfId="1" applyNumberFormat="1" applyFont="1" applyFill="1" applyBorder="1" applyAlignment="1">
      <alignment horizontal="center"/>
    </xf>
    <xf numFmtId="166" fontId="25" fillId="8" borderId="1" xfId="1" applyNumberFormat="1" applyFont="1" applyFill="1" applyBorder="1" applyAlignment="1"/>
    <xf numFmtId="3" fontId="3" fillId="2" borderId="1" xfId="0" applyNumberFormat="1" applyFont="1" applyFill="1" applyBorder="1" applyAlignment="1">
      <alignment wrapText="1"/>
    </xf>
    <xf numFmtId="0" fontId="5" fillId="12" borderId="1" xfId="0" applyFont="1" applyFill="1" applyBorder="1" applyAlignment="1">
      <alignment horizontal="right"/>
    </xf>
    <xf numFmtId="0" fontId="5" fillId="12" borderId="1" xfId="0" applyFont="1" applyFill="1" applyBorder="1" applyAlignment="1">
      <alignment horizontal="left" wrapText="1" shrinkToFit="1"/>
    </xf>
    <xf numFmtId="0" fontId="7" fillId="12" borderId="1" xfId="0" applyFont="1" applyFill="1" applyBorder="1"/>
    <xf numFmtId="3" fontId="5" fillId="12" borderId="1" xfId="0" applyNumberFormat="1" applyFont="1" applyFill="1" applyBorder="1" applyAlignment="1">
      <alignment horizontal="right"/>
    </xf>
    <xf numFmtId="3" fontId="5" fillId="12" borderId="1" xfId="1" applyNumberFormat="1" applyFont="1" applyFill="1" applyBorder="1" applyAlignment="1">
      <alignment horizontal="right" vertical="center"/>
    </xf>
    <xf numFmtId="173" fontId="5" fillId="1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3" fillId="2" borderId="0" xfId="1" applyFont="1" applyFill="1"/>
    <xf numFmtId="164" fontId="3" fillId="2" borderId="0" xfId="0" applyNumberFormat="1" applyFont="1" applyFill="1"/>
    <xf numFmtId="170" fontId="3" fillId="2" borderId="1" xfId="0" applyNumberFormat="1" applyFont="1" applyFill="1" applyBorder="1" applyAlignment="1">
      <alignment horizontal="center"/>
    </xf>
    <xf numFmtId="170" fontId="3" fillId="2" borderId="1" xfId="1" applyNumberFormat="1" applyFont="1" applyFill="1" applyBorder="1" applyAlignment="1">
      <alignment horizontal="center"/>
    </xf>
    <xf numFmtId="180" fontId="3" fillId="2" borderId="1" xfId="0" applyNumberFormat="1" applyFont="1" applyFill="1" applyBorder="1" applyAlignment="1">
      <alignment horizontal="left" wrapText="1" shrinkToFit="1"/>
    </xf>
    <xf numFmtId="181" fontId="3" fillId="2" borderId="1" xfId="1" applyNumberFormat="1" applyFont="1" applyFill="1" applyBorder="1" applyAlignment="1">
      <alignment horizontal="center"/>
    </xf>
    <xf numFmtId="181" fontId="4" fillId="2" borderId="1" xfId="1" applyNumberFormat="1" applyFont="1" applyFill="1" applyBorder="1" applyAlignment="1">
      <alignment horizontal="center"/>
    </xf>
    <xf numFmtId="166" fontId="4" fillId="2" borderId="4" xfId="1" applyNumberFormat="1" applyFont="1" applyFill="1" applyBorder="1" applyAlignment="1">
      <alignment horizontal="center"/>
    </xf>
    <xf numFmtId="181" fontId="3" fillId="2" borderId="4" xfId="1" applyNumberFormat="1" applyFont="1" applyFill="1" applyBorder="1" applyAlignment="1">
      <alignment horizontal="center"/>
    </xf>
    <xf numFmtId="181" fontId="4" fillId="2" borderId="4" xfId="1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right"/>
    </xf>
    <xf numFmtId="41" fontId="5" fillId="2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5" fillId="2" borderId="0" xfId="0" quotePrefix="1" applyFont="1" applyFill="1" applyAlignment="1">
      <alignment horizontal="center" vertical="center" wrapText="1" shrinkToFit="1"/>
    </xf>
    <xf numFmtId="0" fontId="73" fillId="2" borderId="0" xfId="0" applyFont="1" applyFill="1"/>
    <xf numFmtId="0" fontId="74" fillId="2" borderId="0" xfId="0" applyFont="1" applyFill="1"/>
    <xf numFmtId="0" fontId="75" fillId="2" borderId="0" xfId="0" applyFont="1" applyFill="1"/>
    <xf numFmtId="41" fontId="74" fillId="2" borderId="0" xfId="0" applyNumberFormat="1" applyFont="1" applyFill="1"/>
    <xf numFmtId="0" fontId="76" fillId="2" borderId="0" xfId="0" applyFont="1" applyFill="1"/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 shrinkToFit="1"/>
    </xf>
    <xf numFmtId="0" fontId="3" fillId="2" borderId="1" xfId="0" quotePrefix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27" fillId="0" borderId="2" xfId="0" quotePrefix="1" applyFont="1" applyBorder="1" applyAlignment="1">
      <alignment horizontal="center" vertical="center" wrapText="1" shrinkToFit="1"/>
    </xf>
    <xf numFmtId="0" fontId="27" fillId="0" borderId="4" xfId="0" quotePrefix="1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 shrinkToFit="1"/>
    </xf>
    <xf numFmtId="0" fontId="3" fillId="0" borderId="4" xfId="0" quotePrefix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3" fontId="3" fillId="0" borderId="2" xfId="1" applyNumberFormat="1" applyFont="1" applyFill="1" applyBorder="1" applyAlignment="1">
      <alignment horizontal="right"/>
    </xf>
    <xf numFmtId="173" fontId="3" fillId="0" borderId="4" xfId="1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/>
    </xf>
    <xf numFmtId="181" fontId="15" fillId="2" borderId="1" xfId="0" applyNumberFormat="1" applyFont="1" applyFill="1" applyBorder="1" applyAlignment="1">
      <alignment horizontal="center"/>
    </xf>
    <xf numFmtId="166" fontId="17" fillId="2" borderId="1" xfId="1" applyNumberFormat="1" applyFont="1" applyFill="1" applyBorder="1" applyAlignment="1">
      <alignment horizontal="center"/>
    </xf>
    <xf numFmtId="181" fontId="5" fillId="2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wrapText="1" shrinkToFit="1"/>
    </xf>
    <xf numFmtId="49" fontId="4" fillId="2" borderId="4" xfId="0" applyNumberFormat="1" applyFont="1" applyFill="1" applyBorder="1" applyAlignment="1">
      <alignment horizontal="left" wrapText="1" shrinkToFit="1"/>
    </xf>
    <xf numFmtId="170" fontId="5" fillId="2" borderId="4" xfId="1" applyNumberFormat="1" applyFont="1" applyFill="1" applyBorder="1" applyAlignment="1">
      <alignment horizontal="center"/>
    </xf>
    <xf numFmtId="166" fontId="7" fillId="2" borderId="4" xfId="1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 shrinkToFit="1"/>
    </xf>
    <xf numFmtId="170" fontId="3" fillId="2" borderId="1" xfId="1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wrapText="1" shrinkToFit="1"/>
    </xf>
    <xf numFmtId="49" fontId="15" fillId="2" borderId="2" xfId="0" applyNumberFormat="1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center" wrapText="1" shrinkToFit="1"/>
    </xf>
    <xf numFmtId="3" fontId="15" fillId="2" borderId="1" xfId="1" applyNumberFormat="1" applyFont="1" applyFill="1" applyBorder="1" applyAlignment="1">
      <alignment horizontal="right"/>
    </xf>
    <xf numFmtId="170" fontId="3" fillId="2" borderId="1" xfId="1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center" vertical="center"/>
    </xf>
    <xf numFmtId="0" fontId="55" fillId="2" borderId="1" xfId="0" applyNumberFormat="1" applyFont="1" applyFill="1" applyBorder="1" applyAlignment="1">
      <alignment horizontal="left" wrapText="1" shrinkToFit="1"/>
    </xf>
    <xf numFmtId="49" fontId="38" fillId="2" borderId="1" xfId="0" applyNumberFormat="1" applyFont="1" applyFill="1" applyBorder="1" applyAlignment="1">
      <alignment horizontal="center" vertical="center" wrapText="1" shrinkToFit="1"/>
    </xf>
    <xf numFmtId="170" fontId="15" fillId="2" borderId="1" xfId="1" applyNumberFormat="1" applyFont="1" applyFill="1" applyBorder="1" applyAlignment="1"/>
    <xf numFmtId="166" fontId="38" fillId="2" borderId="1" xfId="1" applyNumberFormat="1" applyFont="1" applyFill="1" applyBorder="1" applyAlignment="1">
      <alignment horizontal="center"/>
    </xf>
    <xf numFmtId="41" fontId="3" fillId="2" borderId="1" xfId="1" applyNumberFormat="1" applyFont="1" applyFill="1" applyBorder="1" applyAlignment="1"/>
    <xf numFmtId="41" fontId="7" fillId="2" borderId="5" xfId="1" applyNumberFormat="1" applyFont="1" applyFill="1" applyBorder="1" applyAlignment="1"/>
    <xf numFmtId="41" fontId="7" fillId="2" borderId="1" xfId="1" applyNumberFormat="1" applyFont="1" applyFill="1" applyBorder="1" applyAlignment="1"/>
    <xf numFmtId="49" fontId="15" fillId="2" borderId="1" xfId="0" applyNumberFormat="1" applyFont="1" applyFill="1" applyBorder="1" applyAlignment="1">
      <alignment horizontal="center"/>
    </xf>
    <xf numFmtId="49" fontId="55" fillId="2" borderId="1" xfId="0" applyNumberFormat="1" applyFont="1" applyFill="1" applyBorder="1" applyAlignment="1">
      <alignment vertical="center" wrapText="1" shrinkToFit="1"/>
    </xf>
    <xf numFmtId="49" fontId="15" fillId="2" borderId="1" xfId="0" applyNumberFormat="1" applyFont="1" applyFill="1" applyBorder="1" applyAlignment="1">
      <alignment horizontal="center" wrapText="1" shrinkToFit="1"/>
    </xf>
    <xf numFmtId="3" fontId="15" fillId="2" borderId="1" xfId="1" applyNumberFormat="1" applyFont="1" applyFill="1" applyBorder="1" applyAlignment="1"/>
    <xf numFmtId="166" fontId="15" fillId="2" borderId="1" xfId="1" applyNumberFormat="1" applyFont="1" applyFill="1" applyBorder="1" applyAlignment="1">
      <alignment horizontal="center"/>
    </xf>
    <xf numFmtId="166" fontId="15" fillId="2" borderId="1" xfId="1" applyNumberFormat="1" applyFont="1" applyFill="1" applyBorder="1" applyAlignment="1"/>
    <xf numFmtId="49" fontId="15" fillId="2" borderId="1" xfId="1" applyNumberFormat="1" applyFont="1" applyFill="1" applyBorder="1" applyAlignment="1">
      <alignment horizontal="center" wrapText="1"/>
    </xf>
    <xf numFmtId="41" fontId="15" fillId="2" borderId="1" xfId="1" applyNumberFormat="1" applyFont="1" applyFill="1" applyBorder="1" applyAlignment="1"/>
    <xf numFmtId="41" fontId="15" fillId="2" borderId="1" xfId="1" applyNumberFormat="1" applyFont="1" applyFill="1" applyBorder="1" applyAlignment="1">
      <alignment horizontal="right"/>
    </xf>
    <xf numFmtId="166" fontId="15" fillId="2" borderId="1" xfId="1" applyNumberFormat="1" applyFont="1" applyFill="1" applyBorder="1" applyAlignment="1">
      <alignment horizontal="right"/>
    </xf>
    <xf numFmtId="166" fontId="15" fillId="2" borderId="1" xfId="1" applyNumberFormat="1" applyFont="1" applyFill="1" applyBorder="1" applyAlignment="1">
      <alignment horizontal="center" wrapText="1"/>
    </xf>
    <xf numFmtId="41" fontId="1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left" wrapText="1" shrinkToFit="1"/>
    </xf>
    <xf numFmtId="0" fontId="17" fillId="2" borderId="1" xfId="0" applyFont="1" applyFill="1" applyBorder="1"/>
    <xf numFmtId="3" fontId="15" fillId="2" borderId="1" xfId="0" applyNumberFormat="1" applyFont="1" applyFill="1" applyBorder="1" applyAlignment="1">
      <alignment horizontal="right"/>
    </xf>
    <xf numFmtId="173" fontId="15" fillId="2" borderId="1" xfId="1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wrapText="1"/>
    </xf>
    <xf numFmtId="183" fontId="15" fillId="2" borderId="1" xfId="0" applyNumberFormat="1" applyFont="1" applyFill="1" applyBorder="1" applyAlignment="1">
      <alignment horizontal="center"/>
    </xf>
    <xf numFmtId="183" fontId="5" fillId="2" borderId="1" xfId="0" applyNumberFormat="1" applyFont="1" applyFill="1" applyBorder="1" applyAlignment="1">
      <alignment horizontal="center"/>
    </xf>
    <xf numFmtId="183" fontId="3" fillId="2" borderId="1" xfId="1" applyNumberFormat="1" applyFont="1" applyFill="1" applyBorder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3" fontId="5" fillId="2" borderId="4" xfId="0" applyNumberFormat="1" applyFont="1" applyFill="1" applyBorder="1" applyAlignment="1">
      <alignment horizontal="center"/>
    </xf>
    <xf numFmtId="183" fontId="3" fillId="2" borderId="4" xfId="0" applyNumberFormat="1" applyFont="1" applyFill="1" applyBorder="1" applyAlignment="1">
      <alignment horizontal="center"/>
    </xf>
    <xf numFmtId="183" fontId="5" fillId="2" borderId="4" xfId="1" applyNumberFormat="1" applyFont="1" applyFill="1" applyBorder="1" applyAlignment="1">
      <alignment horizontal="center"/>
    </xf>
    <xf numFmtId="183" fontId="3" fillId="2" borderId="1" xfId="1" applyNumberFormat="1" applyFont="1" applyFill="1" applyBorder="1" applyAlignment="1">
      <alignment horizontal="center" shrinkToFit="1"/>
    </xf>
    <xf numFmtId="183" fontId="5" fillId="2" borderId="1" xfId="1" applyNumberFormat="1" applyFont="1" applyFill="1" applyBorder="1" applyAlignment="1">
      <alignment horizontal="center" shrinkToFit="1"/>
    </xf>
    <xf numFmtId="183" fontId="15" fillId="2" borderId="1" xfId="1" applyNumberFormat="1" applyFont="1" applyFill="1" applyBorder="1" applyAlignment="1">
      <alignment horizontal="right"/>
    </xf>
    <xf numFmtId="183" fontId="5" fillId="2" borderId="1" xfId="1" applyNumberFormat="1" applyFont="1" applyFill="1" applyBorder="1" applyAlignment="1">
      <alignment horizontal="right"/>
    </xf>
    <xf numFmtId="183" fontId="3" fillId="2" borderId="1" xfId="1" applyNumberFormat="1" applyFont="1" applyFill="1" applyBorder="1" applyAlignment="1">
      <alignment horizontal="right"/>
    </xf>
    <xf numFmtId="183" fontId="15" fillId="2" borderId="1" xfId="1" applyNumberFormat="1" applyFont="1" applyFill="1" applyBorder="1" applyAlignment="1"/>
    <xf numFmtId="183" fontId="4" fillId="2" borderId="1" xfId="1" applyNumberFormat="1" applyFont="1" applyFill="1" applyBorder="1" applyAlignment="1"/>
    <xf numFmtId="183" fontId="3" fillId="2" borderId="1" xfId="1" applyNumberFormat="1" applyFont="1" applyFill="1" applyBorder="1" applyAlignment="1"/>
    <xf numFmtId="183" fontId="4" fillId="2" borderId="1" xfId="1" applyNumberFormat="1" applyFont="1" applyFill="1" applyBorder="1" applyAlignment="1">
      <alignment horizontal="right"/>
    </xf>
    <xf numFmtId="183" fontId="25" fillId="2" borderId="1" xfId="1" applyNumberFormat="1" applyFont="1" applyFill="1" applyBorder="1" applyAlignment="1"/>
    <xf numFmtId="183" fontId="25" fillId="2" borderId="1" xfId="0" applyNumberFormat="1" applyFont="1" applyFill="1" applyBorder="1" applyAlignment="1">
      <alignment wrapText="1"/>
    </xf>
    <xf numFmtId="183" fontId="26" fillId="2" borderId="1" xfId="1" applyNumberFormat="1" applyFont="1" applyFill="1" applyBorder="1" applyAlignment="1"/>
    <xf numFmtId="183" fontId="26" fillId="2" borderId="1" xfId="0" applyNumberFormat="1" applyFont="1" applyFill="1" applyBorder="1" applyAlignment="1"/>
    <xf numFmtId="183" fontId="29" fillId="2" borderId="1" xfId="0" applyNumberFormat="1" applyFont="1" applyFill="1" applyBorder="1" applyAlignment="1">
      <alignment wrapText="1"/>
    </xf>
    <xf numFmtId="183" fontId="27" fillId="2" borderId="1" xfId="1" applyNumberFormat="1" applyFont="1" applyFill="1" applyBorder="1" applyAlignment="1"/>
    <xf numFmtId="183" fontId="26" fillId="2" borderId="1" xfId="0" applyNumberFormat="1" applyFont="1" applyFill="1" applyBorder="1" applyAlignment="1">
      <alignment wrapText="1"/>
    </xf>
    <xf numFmtId="183" fontId="25" fillId="2" borderId="4" xfId="0" applyNumberFormat="1" applyFont="1" applyFill="1" applyBorder="1" applyAlignment="1">
      <alignment wrapText="1"/>
    </xf>
    <xf numFmtId="183" fontId="3" fillId="2" borderId="1" xfId="0" applyNumberFormat="1" applyFont="1" applyFill="1" applyBorder="1" applyAlignment="1">
      <alignment horizontal="right"/>
    </xf>
    <xf numFmtId="183" fontId="15" fillId="2" borderId="1" xfId="0" applyNumberFormat="1" applyFont="1" applyFill="1" applyBorder="1" applyAlignment="1">
      <alignment wrapText="1"/>
    </xf>
    <xf numFmtId="183" fontId="5" fillId="2" borderId="1" xfId="1" applyNumberFormat="1" applyFont="1" applyFill="1" applyBorder="1" applyAlignment="1"/>
    <xf numFmtId="183" fontId="15" fillId="2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9" defaultPivotStyle="PivotStyleLight16"/>
  <colors>
    <mruColors>
      <color rgb="FF0066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Users\SchepelinaSE.ADMS\AppData\Local\Microsoft\Windows\Temporary%20Internet%20Files\Content.Outlook\PBN674AE\&#1059;&#1054;%20&#1076;&#1077;&#1085;&#1100;&#1075;&#1080;%20-%20&#1057;&#1074;&#1086;&#1076;%20%20&#1086;&#1090;&#1095;&#1077;&#1090;&#1072;%20&#1087;&#1086;%20&#1052;&#1047;%20&#1079;&#1072;%20%20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6 мес 2021"/>
      <sheetName val="Свод 9 мес 2021 "/>
      <sheetName val="Свод за 2021 год"/>
      <sheetName val="Ларисе 2020 год"/>
      <sheetName val="Ларисе 2021 год"/>
    </sheetNames>
    <sheetDataSet>
      <sheetData sheetId="0" refreshError="1"/>
      <sheetData sheetId="1" refreshError="1"/>
      <sheetData sheetId="2" refreshError="1">
        <row r="314">
          <cell r="E314">
            <v>0</v>
          </cell>
        </row>
        <row r="329">
          <cell r="E329">
            <v>1</v>
          </cell>
          <cell r="F329">
            <v>1</v>
          </cell>
        </row>
        <row r="350">
          <cell r="E350">
            <v>0</v>
          </cell>
          <cell r="F350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130"/>
  <sheetViews>
    <sheetView tabSelected="1" zoomScale="80" zoomScaleNormal="8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E126" sqref="E126"/>
    </sheetView>
  </sheetViews>
  <sheetFormatPr defaultColWidth="8" defaultRowHeight="15.75"/>
  <cols>
    <col min="1" max="1" width="7" style="75" customWidth="1"/>
    <col min="2" max="2" width="81.42578125" style="20" customWidth="1"/>
    <col min="3" max="3" width="38.42578125" style="803" customWidth="1"/>
    <col min="4" max="4" width="20" style="803" customWidth="1"/>
    <col min="5" max="5" width="17.5703125" style="20" customWidth="1"/>
    <col min="6" max="6" width="16.5703125" style="20" customWidth="1"/>
    <col min="7" max="7" width="13.5703125" style="21" customWidth="1"/>
    <col min="8" max="8" width="19.5703125" style="20" customWidth="1"/>
    <col min="9" max="9" width="18.5703125" style="20" customWidth="1"/>
    <col min="10" max="10" width="18.28515625" style="20" customWidth="1"/>
    <col min="11" max="11" width="13.5703125" style="20" customWidth="1"/>
    <col min="12" max="12" width="12.5703125" style="822" bestFit="1" customWidth="1"/>
    <col min="13" max="13" width="11.42578125" style="822" bestFit="1" customWidth="1"/>
    <col min="14" max="14" width="9.7109375" style="822" bestFit="1" customWidth="1"/>
    <col min="15" max="17" width="8" style="822"/>
    <col min="18" max="16384" width="8" style="20"/>
  </cols>
  <sheetData>
    <row r="1" spans="1:17" s="19" customFormat="1" ht="15.75" customHeight="1">
      <c r="A1" s="852" t="s">
        <v>394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21"/>
      <c r="M1" s="821"/>
      <c r="N1" s="821"/>
      <c r="O1" s="821"/>
      <c r="P1" s="821"/>
      <c r="Q1" s="821"/>
    </row>
    <row r="2" spans="1:17" s="19" customFormat="1" ht="41.25" customHeight="1">
      <c r="A2" s="830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21"/>
      <c r="M2" s="821"/>
      <c r="N2" s="821"/>
      <c r="O2" s="821"/>
      <c r="P2" s="821"/>
      <c r="Q2" s="821"/>
    </row>
    <row r="3" spans="1:17" s="19" customFormat="1">
      <c r="A3" s="820"/>
      <c r="B3" s="820"/>
      <c r="C3" s="820"/>
      <c r="D3" s="820"/>
      <c r="E3" s="820"/>
      <c r="F3" s="820"/>
      <c r="G3" s="820"/>
      <c r="L3" s="821"/>
      <c r="M3" s="821"/>
      <c r="N3" s="821"/>
      <c r="O3" s="821"/>
      <c r="P3" s="821"/>
      <c r="Q3" s="821"/>
    </row>
    <row r="4" spans="1:17" ht="48.75" customHeight="1">
      <c r="A4" s="831" t="s">
        <v>0</v>
      </c>
      <c r="B4" s="832" t="s">
        <v>1</v>
      </c>
      <c r="C4" s="832" t="s">
        <v>2</v>
      </c>
      <c r="D4" s="833" t="s">
        <v>244</v>
      </c>
      <c r="E4" s="834"/>
      <c r="F4" s="834"/>
      <c r="G4" s="835"/>
      <c r="H4" s="854" t="s">
        <v>245</v>
      </c>
      <c r="I4" s="854"/>
      <c r="J4" s="854"/>
      <c r="K4" s="854"/>
    </row>
    <row r="5" spans="1:17" ht="94.5">
      <c r="A5" s="831"/>
      <c r="B5" s="832"/>
      <c r="C5" s="832"/>
      <c r="D5" s="853" t="s">
        <v>395</v>
      </c>
      <c r="E5" s="853" t="s">
        <v>396</v>
      </c>
      <c r="F5" s="24" t="s">
        <v>366</v>
      </c>
      <c r="G5" s="25" t="s">
        <v>33</v>
      </c>
      <c r="H5" s="853" t="s">
        <v>395</v>
      </c>
      <c r="I5" s="853" t="s">
        <v>396</v>
      </c>
      <c r="J5" s="24" t="s">
        <v>367</v>
      </c>
      <c r="K5" s="113" t="s">
        <v>249</v>
      </c>
    </row>
    <row r="6" spans="1:17">
      <c r="A6" s="27">
        <v>1</v>
      </c>
      <c r="B6" s="27">
        <v>2</v>
      </c>
      <c r="C6" s="27">
        <v>3</v>
      </c>
      <c r="D6" s="28">
        <v>4</v>
      </c>
      <c r="E6" s="28">
        <v>5</v>
      </c>
      <c r="F6" s="28">
        <v>6</v>
      </c>
      <c r="G6" s="28">
        <v>7</v>
      </c>
      <c r="H6" s="855">
        <v>8</v>
      </c>
      <c r="I6" s="856">
        <v>9</v>
      </c>
      <c r="J6" s="856">
        <v>10</v>
      </c>
      <c r="K6" s="856">
        <v>11</v>
      </c>
    </row>
    <row r="7" spans="1:17" s="247" customFormat="1" ht="23.25" customHeight="1">
      <c r="A7" s="857" t="s">
        <v>250</v>
      </c>
      <c r="B7" s="858" t="s">
        <v>355</v>
      </c>
      <c r="C7" s="859"/>
      <c r="D7" s="860">
        <f>D8+D17</f>
        <v>225040</v>
      </c>
      <c r="E7" s="860">
        <f>E8+E17</f>
        <v>309840</v>
      </c>
      <c r="F7" s="860">
        <f>F8+F17</f>
        <v>310411</v>
      </c>
      <c r="G7" s="861">
        <f>F7/E7*100</f>
        <v>100.18428866511748</v>
      </c>
      <c r="H7" s="905">
        <f>H8+H17</f>
        <v>272893</v>
      </c>
      <c r="I7" s="905">
        <f>I8+I17</f>
        <v>263447.5</v>
      </c>
      <c r="J7" s="905">
        <f>J8+J17</f>
        <v>263447.5</v>
      </c>
      <c r="K7" s="861">
        <f>J7/I7*100</f>
        <v>100</v>
      </c>
      <c r="L7" s="823"/>
      <c r="M7" s="823"/>
      <c r="N7" s="823"/>
      <c r="O7" s="823"/>
      <c r="P7" s="823"/>
      <c r="Q7" s="823"/>
    </row>
    <row r="8" spans="1:17">
      <c r="A8" s="590" t="s">
        <v>26</v>
      </c>
      <c r="B8" s="204" t="s">
        <v>152</v>
      </c>
      <c r="C8" s="544"/>
      <c r="D8" s="862">
        <f>D9+D16</f>
        <v>185412</v>
      </c>
      <c r="E8" s="862">
        <f>E9+E16</f>
        <v>181239</v>
      </c>
      <c r="F8" s="862">
        <f>F9+F16</f>
        <v>181239</v>
      </c>
      <c r="G8" s="544">
        <f>F8/E8*100</f>
        <v>100</v>
      </c>
      <c r="H8" s="906">
        <f>H9+H16</f>
        <v>84772</v>
      </c>
      <c r="I8" s="906">
        <f>I9+I16</f>
        <v>82350.100000000006</v>
      </c>
      <c r="J8" s="906">
        <f>J9+J16</f>
        <v>82350.100000000006</v>
      </c>
      <c r="K8" s="544">
        <f>J8/I8*100</f>
        <v>100</v>
      </c>
    </row>
    <row r="9" spans="1:17" ht="36" customHeight="1">
      <c r="A9" s="826"/>
      <c r="B9" s="2" t="s">
        <v>153</v>
      </c>
      <c r="C9" s="131" t="s">
        <v>5</v>
      </c>
      <c r="D9" s="809">
        <f>D10+D11+D12+D13+D14+D15</f>
        <v>185412</v>
      </c>
      <c r="E9" s="809">
        <f>E10+E11+E12+E13+E14+E15</f>
        <v>181239</v>
      </c>
      <c r="F9" s="809">
        <f>F10+F11+F12+F13+F14+F15</f>
        <v>181239</v>
      </c>
      <c r="G9" s="131">
        <f t="shared" ref="G9:G21" si="0">F9/E9*100</f>
        <v>100</v>
      </c>
      <c r="H9" s="907">
        <f>H10+H11+H12+H13+H14+H15</f>
        <v>82345.7</v>
      </c>
      <c r="I9" s="907">
        <f>I10+I11+I12+I13+I14+I15</f>
        <v>82350.100000000006</v>
      </c>
      <c r="J9" s="907">
        <f>J10+J11+J12+J13+J14+J15</f>
        <v>82350.100000000006</v>
      </c>
      <c r="K9" s="131">
        <f t="shared" ref="K9:K21" si="1">J9/I9*100</f>
        <v>100</v>
      </c>
    </row>
    <row r="10" spans="1:17">
      <c r="A10" s="827"/>
      <c r="B10" s="6" t="s">
        <v>154</v>
      </c>
      <c r="C10" s="131" t="s">
        <v>5</v>
      </c>
      <c r="D10" s="809">
        <v>25493</v>
      </c>
      <c r="E10" s="810">
        <v>23494</v>
      </c>
      <c r="F10" s="810">
        <v>23494</v>
      </c>
      <c r="G10" s="131">
        <f t="shared" si="0"/>
        <v>100</v>
      </c>
      <c r="H10" s="908">
        <v>18603.5</v>
      </c>
      <c r="I10" s="908">
        <v>17821</v>
      </c>
      <c r="J10" s="908">
        <v>17821</v>
      </c>
      <c r="K10" s="131">
        <f t="shared" si="1"/>
        <v>100</v>
      </c>
    </row>
    <row r="11" spans="1:17">
      <c r="A11" s="827"/>
      <c r="B11" s="6" t="s">
        <v>155</v>
      </c>
      <c r="C11" s="131" t="s">
        <v>5</v>
      </c>
      <c r="D11" s="809">
        <v>21471</v>
      </c>
      <c r="E11" s="810">
        <v>20998</v>
      </c>
      <c r="F11" s="810">
        <v>20998</v>
      </c>
      <c r="G11" s="131">
        <f t="shared" si="0"/>
        <v>100</v>
      </c>
      <c r="H11" s="908">
        <v>16169.7</v>
      </c>
      <c r="I11" s="908">
        <v>17191.900000000001</v>
      </c>
      <c r="J11" s="908">
        <v>17191.900000000001</v>
      </c>
      <c r="K11" s="131">
        <f t="shared" si="1"/>
        <v>100</v>
      </c>
    </row>
    <row r="12" spans="1:17">
      <c r="A12" s="827"/>
      <c r="B12" s="6" t="s">
        <v>156</v>
      </c>
      <c r="C12" s="131" t="s">
        <v>5</v>
      </c>
      <c r="D12" s="809">
        <v>9817</v>
      </c>
      <c r="E12" s="810">
        <v>9562</v>
      </c>
      <c r="F12" s="810">
        <v>9562</v>
      </c>
      <c r="G12" s="131">
        <f t="shared" si="0"/>
        <v>100</v>
      </c>
      <c r="H12" s="908">
        <v>11235</v>
      </c>
      <c r="I12" s="908">
        <v>11378.1</v>
      </c>
      <c r="J12" s="908">
        <v>11378.1</v>
      </c>
      <c r="K12" s="131">
        <f t="shared" si="1"/>
        <v>100</v>
      </c>
    </row>
    <row r="13" spans="1:17">
      <c r="A13" s="827"/>
      <c r="B13" s="6" t="s">
        <v>157</v>
      </c>
      <c r="C13" s="131" t="s">
        <v>5</v>
      </c>
      <c r="D13" s="809">
        <v>49932</v>
      </c>
      <c r="E13" s="810">
        <v>48439</v>
      </c>
      <c r="F13" s="810">
        <v>48439</v>
      </c>
      <c r="G13" s="131">
        <f t="shared" si="0"/>
        <v>100</v>
      </c>
      <c r="H13" s="908">
        <v>18130.900000000001</v>
      </c>
      <c r="I13" s="908">
        <v>15920.2</v>
      </c>
      <c r="J13" s="908">
        <v>15920.2</v>
      </c>
      <c r="K13" s="131">
        <f t="shared" si="1"/>
        <v>100</v>
      </c>
    </row>
    <row r="14" spans="1:17">
      <c r="A14" s="827"/>
      <c r="B14" s="6" t="s">
        <v>158</v>
      </c>
      <c r="C14" s="131" t="s">
        <v>5</v>
      </c>
      <c r="D14" s="809">
        <v>5501</v>
      </c>
      <c r="E14" s="810">
        <v>5317</v>
      </c>
      <c r="F14" s="810">
        <v>5317</v>
      </c>
      <c r="G14" s="131">
        <f t="shared" si="0"/>
        <v>100</v>
      </c>
      <c r="H14" s="908">
        <v>7402.3</v>
      </c>
      <c r="I14" s="908">
        <v>8069.6</v>
      </c>
      <c r="J14" s="908">
        <v>8069.6</v>
      </c>
      <c r="K14" s="131">
        <f t="shared" si="1"/>
        <v>100</v>
      </c>
    </row>
    <row r="15" spans="1:17">
      <c r="A15" s="827"/>
      <c r="B15" s="6" t="s">
        <v>159</v>
      </c>
      <c r="C15" s="131" t="s">
        <v>5</v>
      </c>
      <c r="D15" s="809">
        <v>73198</v>
      </c>
      <c r="E15" s="810">
        <v>73429</v>
      </c>
      <c r="F15" s="810">
        <v>73429</v>
      </c>
      <c r="G15" s="131">
        <f t="shared" si="0"/>
        <v>100</v>
      </c>
      <c r="H15" s="908">
        <v>10804.3</v>
      </c>
      <c r="I15" s="908">
        <v>11969.3</v>
      </c>
      <c r="J15" s="908">
        <v>11969.3</v>
      </c>
      <c r="K15" s="131">
        <f t="shared" si="1"/>
        <v>100</v>
      </c>
    </row>
    <row r="16" spans="1:17" ht="31.5">
      <c r="A16" s="828"/>
      <c r="B16" s="204" t="s">
        <v>262</v>
      </c>
      <c r="C16" s="811"/>
      <c r="D16" s="812"/>
      <c r="E16" s="813"/>
      <c r="F16" s="813"/>
      <c r="G16" s="811"/>
      <c r="H16" s="909">
        <v>2426.3000000000002</v>
      </c>
      <c r="I16" s="910"/>
      <c r="J16" s="910"/>
      <c r="K16" s="811"/>
    </row>
    <row r="17" spans="1:17" ht="19.5" customHeight="1">
      <c r="A17" s="863" t="s">
        <v>27</v>
      </c>
      <c r="B17" s="864" t="s">
        <v>160</v>
      </c>
      <c r="C17" s="865"/>
      <c r="D17" s="866">
        <f>D18+D19+D20+D21+D22</f>
        <v>39628</v>
      </c>
      <c r="E17" s="866">
        <f>E18+E19+E20+E21+E22</f>
        <v>128601</v>
      </c>
      <c r="F17" s="866">
        <f>F18+F19+F20+F21+F22</f>
        <v>129172</v>
      </c>
      <c r="G17" s="867">
        <f t="shared" si="0"/>
        <v>100.44400898904362</v>
      </c>
      <c r="H17" s="911">
        <f>H18+H19+H20+H21+H22</f>
        <v>188121</v>
      </c>
      <c r="I17" s="911">
        <f>I18+I19+I20+I21+I22</f>
        <v>181097.4</v>
      </c>
      <c r="J17" s="911">
        <f>J18+J19+J20+J21+J22</f>
        <v>181097.4</v>
      </c>
      <c r="K17" s="867">
        <f t="shared" si="1"/>
        <v>100</v>
      </c>
    </row>
    <row r="18" spans="1:17">
      <c r="A18" s="868"/>
      <c r="B18" s="2" t="s">
        <v>161</v>
      </c>
      <c r="C18" s="869" t="s">
        <v>162</v>
      </c>
      <c r="D18" s="814">
        <v>40</v>
      </c>
      <c r="E18" s="870">
        <v>40</v>
      </c>
      <c r="F18" s="870">
        <v>49</v>
      </c>
      <c r="G18" s="131">
        <f t="shared" si="0"/>
        <v>122.50000000000001</v>
      </c>
      <c r="H18" s="912">
        <v>12509.1</v>
      </c>
      <c r="I18" s="907">
        <v>13584.9</v>
      </c>
      <c r="J18" s="907">
        <v>13584.9</v>
      </c>
      <c r="K18" s="131">
        <f>J18/I18*100</f>
        <v>100</v>
      </c>
    </row>
    <row r="19" spans="1:17" ht="31.5">
      <c r="A19" s="826"/>
      <c r="B19" s="871" t="s">
        <v>164</v>
      </c>
      <c r="C19" s="869" t="s">
        <v>165</v>
      </c>
      <c r="D19" s="814">
        <v>39500</v>
      </c>
      <c r="E19" s="870">
        <v>128500</v>
      </c>
      <c r="F19" s="870">
        <v>129062</v>
      </c>
      <c r="G19" s="131">
        <f t="shared" si="0"/>
        <v>100.4373540856031</v>
      </c>
      <c r="H19" s="912">
        <v>43866.9</v>
      </c>
      <c r="I19" s="907">
        <v>49341.9</v>
      </c>
      <c r="J19" s="907">
        <v>49341.9</v>
      </c>
      <c r="K19" s="131">
        <f t="shared" si="1"/>
        <v>100</v>
      </c>
    </row>
    <row r="20" spans="1:17" ht="31.5">
      <c r="A20" s="868"/>
      <c r="B20" s="872" t="s">
        <v>166</v>
      </c>
      <c r="C20" s="869" t="s">
        <v>167</v>
      </c>
      <c r="D20" s="814">
        <v>23</v>
      </c>
      <c r="E20" s="870">
        <v>25</v>
      </c>
      <c r="F20" s="870">
        <v>25</v>
      </c>
      <c r="G20" s="131">
        <f t="shared" si="0"/>
        <v>100</v>
      </c>
      <c r="H20" s="912">
        <v>102272.9</v>
      </c>
      <c r="I20" s="907">
        <v>116581.5</v>
      </c>
      <c r="J20" s="907">
        <v>116581.5</v>
      </c>
      <c r="K20" s="131">
        <f>J20/I20*100</f>
        <v>100</v>
      </c>
    </row>
    <row r="21" spans="1:17" ht="47.25">
      <c r="A21" s="868"/>
      <c r="B21" s="872" t="s">
        <v>168</v>
      </c>
      <c r="C21" s="869" t="s">
        <v>380</v>
      </c>
      <c r="D21" s="814">
        <v>65</v>
      </c>
      <c r="E21" s="870">
        <v>36</v>
      </c>
      <c r="F21" s="870">
        <v>36</v>
      </c>
      <c r="G21" s="131">
        <f t="shared" si="0"/>
        <v>100</v>
      </c>
      <c r="H21" s="912">
        <v>4668.3999999999996</v>
      </c>
      <c r="I21" s="907">
        <v>1589.1</v>
      </c>
      <c r="J21" s="907">
        <v>1589.1</v>
      </c>
      <c r="K21" s="131">
        <f t="shared" si="1"/>
        <v>100</v>
      </c>
    </row>
    <row r="22" spans="1:17" ht="31.5">
      <c r="A22" s="868"/>
      <c r="B22" s="204" t="s">
        <v>262</v>
      </c>
      <c r="C22" s="869"/>
      <c r="D22" s="28"/>
      <c r="E22" s="807"/>
      <c r="F22" s="807"/>
      <c r="G22" s="131"/>
      <c r="H22" s="913">
        <v>24803.7</v>
      </c>
      <c r="I22" s="907"/>
      <c r="J22" s="907"/>
      <c r="K22" s="131"/>
    </row>
    <row r="23" spans="1:17" s="352" customFormat="1" ht="53.25" customHeight="1">
      <c r="A23" s="873" t="s">
        <v>95</v>
      </c>
      <c r="B23" s="858" t="s">
        <v>265</v>
      </c>
      <c r="C23" s="874"/>
      <c r="D23" s="875">
        <f>D24</f>
        <v>256020</v>
      </c>
      <c r="E23" s="875">
        <f>E24</f>
        <v>256060</v>
      </c>
      <c r="F23" s="875">
        <f>F24</f>
        <v>256060</v>
      </c>
      <c r="G23" s="875">
        <f t="shared" ref="G23" si="2">F23/E23*100</f>
        <v>100</v>
      </c>
      <c r="H23" s="914">
        <f>H24</f>
        <v>14022.3</v>
      </c>
      <c r="I23" s="914">
        <f>I24</f>
        <v>14022.3</v>
      </c>
      <c r="J23" s="914">
        <f>J24</f>
        <v>14022.3</v>
      </c>
      <c r="K23" s="875">
        <f t="shared" ref="K23:K24" si="3">J23/I23*100</f>
        <v>100</v>
      </c>
      <c r="L23" s="825"/>
      <c r="M23" s="825"/>
      <c r="N23" s="825"/>
      <c r="O23" s="825"/>
      <c r="P23" s="825"/>
      <c r="Q23" s="825"/>
    </row>
    <row r="24" spans="1:17">
      <c r="A24" s="203"/>
      <c r="B24" s="204" t="s">
        <v>169</v>
      </c>
      <c r="C24" s="6"/>
      <c r="D24" s="509">
        <f>D25+D26</f>
        <v>256020</v>
      </c>
      <c r="E24" s="509">
        <f t="shared" ref="E24:F24" si="4">E25+E26</f>
        <v>256060</v>
      </c>
      <c r="F24" s="509">
        <f t="shared" si="4"/>
        <v>256060</v>
      </c>
      <c r="G24" s="544">
        <f t="shared" ref="G24:G25" si="5">F24/E24*100</f>
        <v>100</v>
      </c>
      <c r="H24" s="915">
        <f>H25+H26</f>
        <v>14022.3</v>
      </c>
      <c r="I24" s="915">
        <f t="shared" ref="I24" si="6">I25+I26</f>
        <v>14022.3</v>
      </c>
      <c r="J24" s="915">
        <f t="shared" ref="J24" si="7">J25+J26</f>
        <v>14022.3</v>
      </c>
      <c r="K24" s="544">
        <f t="shared" si="3"/>
        <v>100</v>
      </c>
    </row>
    <row r="25" spans="1:17">
      <c r="A25" s="868"/>
      <c r="B25" s="2" t="s">
        <v>170</v>
      </c>
      <c r="C25" s="869" t="s">
        <v>266</v>
      </c>
      <c r="D25" s="876">
        <v>256020</v>
      </c>
      <c r="E25" s="876">
        <v>256060</v>
      </c>
      <c r="F25" s="876">
        <v>256060</v>
      </c>
      <c r="G25" s="131">
        <f t="shared" si="5"/>
        <v>100</v>
      </c>
      <c r="H25" s="916">
        <v>13238.4</v>
      </c>
      <c r="I25" s="916">
        <v>14022.3</v>
      </c>
      <c r="J25" s="916">
        <v>14022.3</v>
      </c>
      <c r="K25" s="131">
        <f t="shared" ref="K25" si="8">J25/I25*100</f>
        <v>100</v>
      </c>
    </row>
    <row r="26" spans="1:17" ht="36" customHeight="1">
      <c r="A26" s="868"/>
      <c r="B26" s="204" t="s">
        <v>262</v>
      </c>
      <c r="C26" s="869"/>
      <c r="D26" s="876"/>
      <c r="E26" s="876"/>
      <c r="F26" s="876"/>
      <c r="G26" s="131"/>
      <c r="H26" s="915">
        <v>783.9</v>
      </c>
      <c r="I26" s="916"/>
      <c r="J26" s="916"/>
      <c r="K26" s="131"/>
    </row>
    <row r="27" spans="1:17" ht="66.75" customHeight="1">
      <c r="A27" s="877" t="s">
        <v>264</v>
      </c>
      <c r="B27" s="878" t="s">
        <v>259</v>
      </c>
      <c r="C27" s="879"/>
      <c r="D27" s="880">
        <f>D28+D50</f>
        <v>2410</v>
      </c>
      <c r="E27" s="880">
        <f t="shared" ref="E27:F27" si="9">E28+E50</f>
        <v>42216.13</v>
      </c>
      <c r="F27" s="880">
        <f t="shared" si="9"/>
        <v>42304.13</v>
      </c>
      <c r="G27" s="816">
        <f t="shared" ref="G27:G71" si="10">F27/E27*100</f>
        <v>100.20845112993541</v>
      </c>
      <c r="H27" s="917">
        <f>H28+H50</f>
        <v>180022</v>
      </c>
      <c r="I27" s="917">
        <f>I28+I50</f>
        <v>188061</v>
      </c>
      <c r="J27" s="917">
        <f t="shared" ref="J27" si="11">J28+J50</f>
        <v>188061</v>
      </c>
      <c r="K27" s="816">
        <f t="shared" ref="K27:K71" si="12">J27/I27*100</f>
        <v>100</v>
      </c>
    </row>
    <row r="28" spans="1:17" s="19" customFormat="1" ht="24.75" customHeight="1">
      <c r="A28" s="248" t="s">
        <v>388</v>
      </c>
      <c r="B28" s="594" t="s">
        <v>381</v>
      </c>
      <c r="C28" s="881"/>
      <c r="D28" s="815">
        <f>D29+D38+D45+D46+D47+D48+D49</f>
        <v>2410</v>
      </c>
      <c r="E28" s="815">
        <f t="shared" ref="E28:F28" si="13">E29+E38+E45+E46+E47+E48+E49</f>
        <v>3324</v>
      </c>
      <c r="F28" s="815">
        <f t="shared" si="13"/>
        <v>3324</v>
      </c>
      <c r="G28" s="816">
        <f t="shared" si="10"/>
        <v>100</v>
      </c>
      <c r="H28" s="915">
        <f t="shared" ref="H28:J28" si="14">H29+H38+H45+H46+H47+H48+H49</f>
        <v>180022</v>
      </c>
      <c r="I28" s="915">
        <f>I29+I38+I45+I46+I47+I48+I49</f>
        <v>104235</v>
      </c>
      <c r="J28" s="915">
        <f t="shared" si="14"/>
        <v>104235</v>
      </c>
      <c r="K28" s="816">
        <f t="shared" si="12"/>
        <v>100</v>
      </c>
      <c r="L28" s="821"/>
      <c r="M28" s="821"/>
      <c r="N28" s="821"/>
      <c r="O28" s="821"/>
      <c r="P28" s="821"/>
      <c r="Q28" s="821"/>
    </row>
    <row r="29" spans="1:17" s="19" customFormat="1" ht="19.5" customHeight="1">
      <c r="A29" s="203"/>
      <c r="B29" s="204" t="s">
        <v>42</v>
      </c>
      <c r="C29" s="818" t="s">
        <v>9</v>
      </c>
      <c r="D29" s="815">
        <f>SUM(D30:D37)</f>
        <v>799</v>
      </c>
      <c r="E29" s="815">
        <f>SUM(E30:E37)</f>
        <v>876</v>
      </c>
      <c r="F29" s="815">
        <f>SUM(F30:F37)</f>
        <v>876</v>
      </c>
      <c r="G29" s="816">
        <f t="shared" si="10"/>
        <v>100</v>
      </c>
      <c r="H29" s="915">
        <f>SUM(H30:H37)</f>
        <v>110505</v>
      </c>
      <c r="I29" s="915">
        <f>SUM(I30:I37)</f>
        <v>64055</v>
      </c>
      <c r="J29" s="915">
        <f>SUM(J30:J37)</f>
        <v>64055</v>
      </c>
      <c r="K29" s="816">
        <f t="shared" si="12"/>
        <v>100</v>
      </c>
      <c r="L29" s="821"/>
      <c r="M29" s="821"/>
      <c r="N29" s="821"/>
      <c r="O29" s="821"/>
      <c r="P29" s="821"/>
      <c r="Q29" s="821"/>
    </row>
    <row r="30" spans="1:17" ht="19.5" customHeight="1">
      <c r="A30" s="1"/>
      <c r="B30" s="6" t="s">
        <v>43</v>
      </c>
      <c r="C30" s="819" t="s">
        <v>44</v>
      </c>
      <c r="D30" s="134">
        <v>215</v>
      </c>
      <c r="E30" s="134">
        <f>190+54</f>
        <v>244</v>
      </c>
      <c r="F30" s="134">
        <f>190+54</f>
        <v>244</v>
      </c>
      <c r="G30" s="135">
        <f t="shared" si="10"/>
        <v>100</v>
      </c>
      <c r="H30" s="918">
        <v>30957</v>
      </c>
      <c r="I30" s="918">
        <v>17866</v>
      </c>
      <c r="J30" s="918">
        <v>17866</v>
      </c>
      <c r="K30" s="135">
        <f t="shared" si="12"/>
        <v>100</v>
      </c>
    </row>
    <row r="31" spans="1:17" ht="19.5" customHeight="1">
      <c r="A31" s="1"/>
      <c r="B31" s="6" t="s">
        <v>45</v>
      </c>
      <c r="C31" s="819" t="s">
        <v>44</v>
      </c>
      <c r="D31" s="134">
        <v>215</v>
      </c>
      <c r="E31" s="134">
        <f>131+75+9</f>
        <v>215</v>
      </c>
      <c r="F31" s="134">
        <f>131+75+9</f>
        <v>215</v>
      </c>
      <c r="G31" s="135">
        <f t="shared" si="10"/>
        <v>100</v>
      </c>
      <c r="H31" s="918">
        <v>22851</v>
      </c>
      <c r="I31" s="918">
        <v>13174</v>
      </c>
      <c r="J31" s="918">
        <v>13174</v>
      </c>
      <c r="K31" s="135">
        <f t="shared" si="12"/>
        <v>100</v>
      </c>
    </row>
    <row r="32" spans="1:17" ht="19.5" customHeight="1">
      <c r="A32" s="1"/>
      <c r="B32" s="6" t="s">
        <v>46</v>
      </c>
      <c r="C32" s="819" t="s">
        <v>44</v>
      </c>
      <c r="D32" s="134">
        <f>40+50</f>
        <v>90</v>
      </c>
      <c r="E32" s="134">
        <f>90+48</f>
        <v>138</v>
      </c>
      <c r="F32" s="134">
        <f>90+48</f>
        <v>138</v>
      </c>
      <c r="G32" s="135">
        <f t="shared" si="10"/>
        <v>100</v>
      </c>
      <c r="H32" s="918">
        <v>10939</v>
      </c>
      <c r="I32" s="918">
        <v>6385</v>
      </c>
      <c r="J32" s="918">
        <v>6385</v>
      </c>
      <c r="K32" s="135">
        <f t="shared" si="12"/>
        <v>100</v>
      </c>
    </row>
    <row r="33" spans="1:17" ht="19.5" customHeight="1">
      <c r="A33" s="1"/>
      <c r="B33" s="6" t="s">
        <v>48</v>
      </c>
      <c r="C33" s="819" t="s">
        <v>44</v>
      </c>
      <c r="D33" s="134">
        <f>75+15</f>
        <v>90</v>
      </c>
      <c r="E33" s="134">
        <f>78+12</f>
        <v>90</v>
      </c>
      <c r="F33" s="134">
        <f>78+12</f>
        <v>90</v>
      </c>
      <c r="G33" s="135">
        <f t="shared" si="10"/>
        <v>100</v>
      </c>
      <c r="H33" s="918">
        <v>14781</v>
      </c>
      <c r="I33" s="918">
        <v>8520</v>
      </c>
      <c r="J33" s="918">
        <v>8520</v>
      </c>
      <c r="K33" s="135">
        <f t="shared" si="12"/>
        <v>100</v>
      </c>
    </row>
    <row r="34" spans="1:17" ht="19.5" customHeight="1">
      <c r="A34" s="1"/>
      <c r="B34" s="6" t="s">
        <v>49</v>
      </c>
      <c r="C34" s="819" t="s">
        <v>44</v>
      </c>
      <c r="D34" s="134">
        <v>55</v>
      </c>
      <c r="E34" s="134">
        <f>23+32</f>
        <v>55</v>
      </c>
      <c r="F34" s="134">
        <f>23+32</f>
        <v>55</v>
      </c>
      <c r="G34" s="135">
        <f t="shared" si="10"/>
        <v>100</v>
      </c>
      <c r="H34" s="918">
        <v>8119</v>
      </c>
      <c r="I34" s="918">
        <v>4704</v>
      </c>
      <c r="J34" s="918">
        <v>4704</v>
      </c>
      <c r="K34" s="135">
        <f t="shared" si="12"/>
        <v>100</v>
      </c>
    </row>
    <row r="35" spans="1:17" ht="19.5" customHeight="1">
      <c r="A35" s="1"/>
      <c r="B35" s="6" t="s">
        <v>50</v>
      </c>
      <c r="C35" s="819" t="s">
        <v>44</v>
      </c>
      <c r="D35" s="134">
        <v>100</v>
      </c>
      <c r="E35" s="134">
        <f>70+30</f>
        <v>100</v>
      </c>
      <c r="F35" s="134">
        <f>70+30</f>
        <v>100</v>
      </c>
      <c r="G35" s="135">
        <f t="shared" si="10"/>
        <v>100</v>
      </c>
      <c r="H35" s="918">
        <v>12576</v>
      </c>
      <c r="I35" s="918">
        <v>7393</v>
      </c>
      <c r="J35" s="918">
        <v>7393</v>
      </c>
      <c r="K35" s="135">
        <f t="shared" si="12"/>
        <v>100</v>
      </c>
    </row>
    <row r="36" spans="1:17" ht="19.5" customHeight="1">
      <c r="A36" s="1"/>
      <c r="B36" s="6" t="s">
        <v>51</v>
      </c>
      <c r="C36" s="819" t="s">
        <v>44</v>
      </c>
      <c r="D36" s="134">
        <v>24</v>
      </c>
      <c r="E36" s="134">
        <v>24</v>
      </c>
      <c r="F36" s="134">
        <v>24</v>
      </c>
      <c r="G36" s="135">
        <f t="shared" si="10"/>
        <v>100</v>
      </c>
      <c r="H36" s="918">
        <v>4863</v>
      </c>
      <c r="I36" s="918">
        <v>2871</v>
      </c>
      <c r="J36" s="918">
        <v>2871</v>
      </c>
      <c r="K36" s="135">
        <f t="shared" si="12"/>
        <v>100</v>
      </c>
    </row>
    <row r="37" spans="1:17" ht="19.5" customHeight="1">
      <c r="A37" s="1"/>
      <c r="B37" s="6" t="s">
        <v>190</v>
      </c>
      <c r="C37" s="819" t="s">
        <v>44</v>
      </c>
      <c r="D37" s="134">
        <v>10</v>
      </c>
      <c r="E37" s="134">
        <v>10</v>
      </c>
      <c r="F37" s="134">
        <v>10</v>
      </c>
      <c r="G37" s="135">
        <f t="shared" si="10"/>
        <v>100</v>
      </c>
      <c r="H37" s="918">
        <v>5419</v>
      </c>
      <c r="I37" s="918">
        <v>3142</v>
      </c>
      <c r="J37" s="918">
        <v>3142</v>
      </c>
      <c r="K37" s="135">
        <f t="shared" si="12"/>
        <v>100</v>
      </c>
    </row>
    <row r="38" spans="1:17" s="19" customFormat="1" ht="19.5" customHeight="1">
      <c r="A38" s="203"/>
      <c r="B38" s="204" t="s">
        <v>52</v>
      </c>
      <c r="C38" s="818" t="s">
        <v>9</v>
      </c>
      <c r="D38" s="815">
        <f>SUM(D39:D44)</f>
        <v>281</v>
      </c>
      <c r="E38" s="815">
        <f>SUM(E39:E44)</f>
        <v>279</v>
      </c>
      <c r="F38" s="815">
        <f>SUM(F39:F44)</f>
        <v>279</v>
      </c>
      <c r="G38" s="816">
        <f t="shared" si="10"/>
        <v>100</v>
      </c>
      <c r="H38" s="915">
        <f>SUM(H39:H44)</f>
        <v>45436</v>
      </c>
      <c r="I38" s="915">
        <f>SUM(I39:I44)</f>
        <v>26334</v>
      </c>
      <c r="J38" s="915">
        <f>SUM(J39:J44)</f>
        <v>26334</v>
      </c>
      <c r="K38" s="816">
        <f t="shared" si="12"/>
        <v>100</v>
      </c>
      <c r="L38" s="821"/>
      <c r="M38" s="821"/>
      <c r="N38" s="821"/>
      <c r="O38" s="821"/>
      <c r="P38" s="821"/>
      <c r="Q38" s="821"/>
    </row>
    <row r="39" spans="1:17" ht="19.5" customHeight="1">
      <c r="A39" s="1"/>
      <c r="B39" s="2" t="s">
        <v>53</v>
      </c>
      <c r="C39" s="817" t="s">
        <v>44</v>
      </c>
      <c r="D39" s="132">
        <v>169</v>
      </c>
      <c r="E39" s="132">
        <f>113+48+8</f>
        <v>169</v>
      </c>
      <c r="F39" s="132">
        <f>113+48+8</f>
        <v>169</v>
      </c>
      <c r="G39" s="133">
        <f t="shared" si="10"/>
        <v>100</v>
      </c>
      <c r="H39" s="919">
        <v>20292</v>
      </c>
      <c r="I39" s="919">
        <v>11754</v>
      </c>
      <c r="J39" s="919">
        <v>11754</v>
      </c>
      <c r="K39" s="133">
        <f t="shared" si="12"/>
        <v>100</v>
      </c>
    </row>
    <row r="40" spans="1:17" ht="19.5" customHeight="1">
      <c r="A40" s="1"/>
      <c r="B40" s="2" t="s">
        <v>54</v>
      </c>
      <c r="C40" s="817" t="s">
        <v>44</v>
      </c>
      <c r="D40" s="132">
        <f>10+20</f>
        <v>30</v>
      </c>
      <c r="E40" s="132">
        <f>16+14</f>
        <v>30</v>
      </c>
      <c r="F40" s="132">
        <f>16+14</f>
        <v>30</v>
      </c>
      <c r="G40" s="133">
        <f t="shared" si="10"/>
        <v>100</v>
      </c>
      <c r="H40" s="919">
        <v>5890</v>
      </c>
      <c r="I40" s="919">
        <v>3488</v>
      </c>
      <c r="J40" s="919">
        <v>3488</v>
      </c>
      <c r="K40" s="133">
        <f t="shared" si="12"/>
        <v>100</v>
      </c>
    </row>
    <row r="41" spans="1:17" ht="19.5" customHeight="1">
      <c r="A41" s="1"/>
      <c r="B41" s="2" t="s">
        <v>55</v>
      </c>
      <c r="C41" s="817" t="s">
        <v>44</v>
      </c>
      <c r="D41" s="132">
        <f>30+6</f>
        <v>36</v>
      </c>
      <c r="E41" s="132">
        <f>30+6</f>
        <v>36</v>
      </c>
      <c r="F41" s="132">
        <f>30+6</f>
        <v>36</v>
      </c>
      <c r="G41" s="133">
        <f t="shared" si="10"/>
        <v>100</v>
      </c>
      <c r="H41" s="919">
        <v>6530</v>
      </c>
      <c r="I41" s="919">
        <v>3775</v>
      </c>
      <c r="J41" s="919">
        <v>3775</v>
      </c>
      <c r="K41" s="133">
        <f t="shared" si="12"/>
        <v>100</v>
      </c>
    </row>
    <row r="42" spans="1:17" ht="19.5" customHeight="1">
      <c r="A42" s="1"/>
      <c r="B42" s="2" t="s">
        <v>56</v>
      </c>
      <c r="C42" s="817" t="s">
        <v>44</v>
      </c>
      <c r="D42" s="132">
        <v>12</v>
      </c>
      <c r="E42" s="132">
        <v>12</v>
      </c>
      <c r="F42" s="132">
        <v>12</v>
      </c>
      <c r="G42" s="133">
        <f t="shared" si="10"/>
        <v>100</v>
      </c>
      <c r="H42" s="919">
        <v>5358</v>
      </c>
      <c r="I42" s="919">
        <v>3081</v>
      </c>
      <c r="J42" s="919">
        <v>3081</v>
      </c>
      <c r="K42" s="133">
        <f t="shared" si="12"/>
        <v>100</v>
      </c>
    </row>
    <row r="43" spans="1:17" ht="19.5" customHeight="1">
      <c r="A43" s="1"/>
      <c r="B43" s="2" t="s">
        <v>199</v>
      </c>
      <c r="C43" s="817" t="s">
        <v>44</v>
      </c>
      <c r="D43" s="132">
        <f>10+4</f>
        <v>14</v>
      </c>
      <c r="E43" s="132">
        <f>10+2</f>
        <v>12</v>
      </c>
      <c r="F43" s="132">
        <f>10+2</f>
        <v>12</v>
      </c>
      <c r="G43" s="133">
        <f t="shared" si="10"/>
        <v>100</v>
      </c>
      <c r="H43" s="919">
        <v>6027</v>
      </c>
      <c r="I43" s="919">
        <v>3466</v>
      </c>
      <c r="J43" s="919">
        <v>3466</v>
      </c>
      <c r="K43" s="133">
        <f t="shared" si="12"/>
        <v>100</v>
      </c>
    </row>
    <row r="44" spans="1:17" ht="19.5" customHeight="1">
      <c r="A44" s="1"/>
      <c r="B44" s="2" t="s">
        <v>362</v>
      </c>
      <c r="C44" s="817" t="s">
        <v>9</v>
      </c>
      <c r="D44" s="132">
        <v>20</v>
      </c>
      <c r="E44" s="132">
        <v>20</v>
      </c>
      <c r="F44" s="132">
        <v>20</v>
      </c>
      <c r="G44" s="133">
        <f t="shared" si="10"/>
        <v>100</v>
      </c>
      <c r="H44" s="919">
        <v>1339</v>
      </c>
      <c r="I44" s="919">
        <v>770</v>
      </c>
      <c r="J44" s="919">
        <v>770</v>
      </c>
      <c r="K44" s="133">
        <f t="shared" si="12"/>
        <v>100</v>
      </c>
    </row>
    <row r="45" spans="1:17" ht="31.5">
      <c r="A45" s="1"/>
      <c r="B45" s="2" t="s">
        <v>19</v>
      </c>
      <c r="C45" s="904" t="s">
        <v>20</v>
      </c>
      <c r="D45" s="132">
        <v>84</v>
      </c>
      <c r="E45" s="132">
        <v>54</v>
      </c>
      <c r="F45" s="132">
        <v>54</v>
      </c>
      <c r="G45" s="133">
        <f t="shared" si="10"/>
        <v>100</v>
      </c>
      <c r="H45" s="919">
        <v>5619</v>
      </c>
      <c r="I45" s="919">
        <v>3231</v>
      </c>
      <c r="J45" s="919">
        <v>3231</v>
      </c>
      <c r="K45" s="133">
        <f t="shared" si="12"/>
        <v>100</v>
      </c>
    </row>
    <row r="46" spans="1:17">
      <c r="A46" s="1"/>
      <c r="B46" s="2" t="s">
        <v>22</v>
      </c>
      <c r="C46" s="904" t="s">
        <v>25</v>
      </c>
      <c r="D46" s="132">
        <v>11</v>
      </c>
      <c r="E46" s="132">
        <v>3</v>
      </c>
      <c r="F46" s="132">
        <v>3</v>
      </c>
      <c r="G46" s="133">
        <f t="shared" si="10"/>
        <v>100</v>
      </c>
      <c r="H46" s="919">
        <v>8027</v>
      </c>
      <c r="I46" s="919">
        <v>4615</v>
      </c>
      <c r="J46" s="919">
        <v>4615</v>
      </c>
      <c r="K46" s="133">
        <f t="shared" si="12"/>
        <v>100</v>
      </c>
    </row>
    <row r="47" spans="1:17" ht="31.5">
      <c r="A47" s="1"/>
      <c r="B47" s="2" t="s">
        <v>40</v>
      </c>
      <c r="C47" s="904" t="s">
        <v>382</v>
      </c>
      <c r="D47" s="132">
        <v>231</v>
      </c>
      <c r="E47" s="132">
        <v>117</v>
      </c>
      <c r="F47" s="132">
        <v>117</v>
      </c>
      <c r="G47" s="133">
        <f t="shared" si="10"/>
        <v>100</v>
      </c>
      <c r="H47" s="919">
        <v>2408</v>
      </c>
      <c r="I47" s="919">
        <v>1385</v>
      </c>
      <c r="J47" s="919">
        <v>1385</v>
      </c>
      <c r="K47" s="133">
        <f t="shared" si="12"/>
        <v>100</v>
      </c>
    </row>
    <row r="48" spans="1:17" ht="63">
      <c r="A48" s="1"/>
      <c r="B48" s="2" t="s">
        <v>37</v>
      </c>
      <c r="C48" s="904" t="s">
        <v>20</v>
      </c>
      <c r="D48" s="132">
        <v>4</v>
      </c>
      <c r="E48" s="132">
        <v>3</v>
      </c>
      <c r="F48" s="132">
        <v>3</v>
      </c>
      <c r="G48" s="133">
        <f t="shared" si="10"/>
        <v>100</v>
      </c>
      <c r="H48" s="919">
        <v>4816</v>
      </c>
      <c r="I48" s="919">
        <v>2769</v>
      </c>
      <c r="J48" s="919">
        <v>2769</v>
      </c>
      <c r="K48" s="133">
        <f t="shared" si="12"/>
        <v>100</v>
      </c>
    </row>
    <row r="49" spans="1:11" ht="31.5">
      <c r="A49" s="1"/>
      <c r="B49" s="2" t="s">
        <v>38</v>
      </c>
      <c r="C49" s="904" t="s">
        <v>383</v>
      </c>
      <c r="D49" s="132">
        <v>1000</v>
      </c>
      <c r="E49" s="132">
        <v>1992</v>
      </c>
      <c r="F49" s="132">
        <v>1992</v>
      </c>
      <c r="G49" s="133">
        <f t="shared" si="10"/>
        <v>100</v>
      </c>
      <c r="H49" s="919">
        <v>3211</v>
      </c>
      <c r="I49" s="919">
        <v>1846</v>
      </c>
      <c r="J49" s="919">
        <v>1846</v>
      </c>
      <c r="K49" s="133">
        <f t="shared" si="12"/>
        <v>100</v>
      </c>
    </row>
    <row r="50" spans="1:11" ht="18.75">
      <c r="A50" s="248" t="s">
        <v>389</v>
      </c>
      <c r="B50" s="594" t="s">
        <v>384</v>
      </c>
      <c r="C50" s="818"/>
      <c r="D50" s="815">
        <f>D51+D60+D127+D67+D68+D69+D70+D71</f>
        <v>0</v>
      </c>
      <c r="E50" s="815">
        <f>E51+E60+E127+E67+E68+E69+E70+E71</f>
        <v>38892.129999999997</v>
      </c>
      <c r="F50" s="815">
        <f>F51+F60+F127+F67+F68+F69+F70+F71</f>
        <v>38980.129999999997</v>
      </c>
      <c r="G50" s="816">
        <f t="shared" si="10"/>
        <v>100.22626685655942</v>
      </c>
      <c r="H50" s="915"/>
      <c r="I50" s="915">
        <f>I51+I60+I67+I68+I69+I70+I71</f>
        <v>83826</v>
      </c>
      <c r="J50" s="915">
        <f>J51+J60+J67+J68+J69+J70+J71</f>
        <v>83826</v>
      </c>
      <c r="K50" s="816">
        <f t="shared" si="12"/>
        <v>100</v>
      </c>
    </row>
    <row r="51" spans="1:11" ht="31.5">
      <c r="A51" s="216"/>
      <c r="B51" s="204" t="s">
        <v>385</v>
      </c>
      <c r="C51" s="818" t="s">
        <v>9</v>
      </c>
      <c r="D51" s="815">
        <f>SUM(D52:D59)</f>
        <v>0</v>
      </c>
      <c r="E51" s="815">
        <f>SUM(E52:E59)</f>
        <v>908</v>
      </c>
      <c r="F51" s="815">
        <f t="shared" ref="F51" si="15">SUM(F52:F59)</f>
        <v>988</v>
      </c>
      <c r="G51" s="816">
        <f t="shared" si="10"/>
        <v>108.81057268722468</v>
      </c>
      <c r="H51" s="915"/>
      <c r="I51" s="915">
        <f>SUM(I52:I59)</f>
        <v>53081</v>
      </c>
      <c r="J51" s="915">
        <f t="shared" ref="J51" si="16">SUM(J52:J59)</f>
        <v>53081</v>
      </c>
      <c r="K51" s="816">
        <f t="shared" ref="K51:K59" si="17">J29/I29*100</f>
        <v>100</v>
      </c>
    </row>
    <row r="52" spans="1:11">
      <c r="A52" s="1"/>
      <c r="B52" s="6" t="s">
        <v>43</v>
      </c>
      <c r="C52" s="819" t="s">
        <v>44</v>
      </c>
      <c r="D52" s="883"/>
      <c r="E52" s="134">
        <f>190+65</f>
        <v>255</v>
      </c>
      <c r="F52" s="134">
        <v>260</v>
      </c>
      <c r="G52" s="135">
        <f t="shared" si="10"/>
        <v>101.96078431372548</v>
      </c>
      <c r="H52" s="918"/>
      <c r="I52" s="918">
        <v>14964</v>
      </c>
      <c r="J52" s="918">
        <v>14964</v>
      </c>
      <c r="K52" s="135">
        <f t="shared" si="17"/>
        <v>100</v>
      </c>
    </row>
    <row r="53" spans="1:11">
      <c r="A53" s="1"/>
      <c r="B53" s="6" t="s">
        <v>45</v>
      </c>
      <c r="C53" s="819" t="s">
        <v>44</v>
      </c>
      <c r="D53" s="883"/>
      <c r="E53" s="134">
        <v>224</v>
      </c>
      <c r="F53" s="134">
        <v>259</v>
      </c>
      <c r="G53" s="135">
        <f t="shared" si="10"/>
        <v>115.625</v>
      </c>
      <c r="H53" s="918"/>
      <c r="I53" s="918">
        <v>11118</v>
      </c>
      <c r="J53" s="918">
        <v>11118</v>
      </c>
      <c r="K53" s="135">
        <f t="shared" si="17"/>
        <v>100</v>
      </c>
    </row>
    <row r="54" spans="1:11">
      <c r="A54" s="1"/>
      <c r="B54" s="6" t="s">
        <v>46</v>
      </c>
      <c r="C54" s="819" t="s">
        <v>44</v>
      </c>
      <c r="D54" s="883"/>
      <c r="E54" s="134">
        <f>90+45</f>
        <v>135</v>
      </c>
      <c r="F54" s="134">
        <v>147</v>
      </c>
      <c r="G54" s="135">
        <f t="shared" si="10"/>
        <v>108.88888888888889</v>
      </c>
      <c r="H54" s="918"/>
      <c r="I54" s="918">
        <v>5205</v>
      </c>
      <c r="J54" s="918">
        <v>5205</v>
      </c>
      <c r="K54" s="135">
        <f t="shared" si="17"/>
        <v>100</v>
      </c>
    </row>
    <row r="55" spans="1:11">
      <c r="A55" s="1"/>
      <c r="B55" s="6" t="s">
        <v>48</v>
      </c>
      <c r="C55" s="819" t="s">
        <v>44</v>
      </c>
      <c r="D55" s="883"/>
      <c r="E55" s="134">
        <f>78+12</f>
        <v>90</v>
      </c>
      <c r="F55" s="134">
        <f>78+12</f>
        <v>90</v>
      </c>
      <c r="G55" s="135">
        <f t="shared" si="10"/>
        <v>100</v>
      </c>
      <c r="H55" s="918"/>
      <c r="I55" s="918">
        <v>7157</v>
      </c>
      <c r="J55" s="918">
        <v>7157</v>
      </c>
      <c r="K55" s="135">
        <f t="shared" si="17"/>
        <v>100</v>
      </c>
    </row>
    <row r="56" spans="1:11">
      <c r="A56" s="1"/>
      <c r="B56" s="6" t="s">
        <v>49</v>
      </c>
      <c r="C56" s="819" t="s">
        <v>44</v>
      </c>
      <c r="D56" s="883"/>
      <c r="E56" s="134">
        <f>20+30</f>
        <v>50</v>
      </c>
      <c r="F56" s="134">
        <v>50</v>
      </c>
      <c r="G56" s="135">
        <f t="shared" si="10"/>
        <v>100</v>
      </c>
      <c r="H56" s="918"/>
      <c r="I56" s="918">
        <v>3903</v>
      </c>
      <c r="J56" s="918">
        <v>3903</v>
      </c>
      <c r="K56" s="135">
        <f t="shared" si="17"/>
        <v>100</v>
      </c>
    </row>
    <row r="57" spans="1:11">
      <c r="A57" s="1"/>
      <c r="B57" s="6" t="s">
        <v>50</v>
      </c>
      <c r="C57" s="819" t="s">
        <v>44</v>
      </c>
      <c r="D57" s="883"/>
      <c r="E57" s="134">
        <f>80+30</f>
        <v>110</v>
      </c>
      <c r="F57" s="134">
        <v>130</v>
      </c>
      <c r="G57" s="135">
        <f t="shared" si="10"/>
        <v>118.18181818181819</v>
      </c>
      <c r="H57" s="918"/>
      <c r="I57" s="918">
        <v>5855</v>
      </c>
      <c r="J57" s="918">
        <v>5855</v>
      </c>
      <c r="K57" s="135">
        <f t="shared" si="17"/>
        <v>100</v>
      </c>
    </row>
    <row r="58" spans="1:11">
      <c r="A58" s="1"/>
      <c r="B58" s="6" t="s">
        <v>51</v>
      </c>
      <c r="C58" s="819" t="s">
        <v>44</v>
      </c>
      <c r="D58" s="883"/>
      <c r="E58" s="134">
        <v>24</v>
      </c>
      <c r="F58" s="134">
        <v>30</v>
      </c>
      <c r="G58" s="135">
        <f t="shared" si="10"/>
        <v>125</v>
      </c>
      <c r="H58" s="918"/>
      <c r="I58" s="918">
        <v>2277</v>
      </c>
      <c r="J58" s="918">
        <v>2277</v>
      </c>
      <c r="K58" s="135">
        <f t="shared" si="17"/>
        <v>100</v>
      </c>
    </row>
    <row r="59" spans="1:11">
      <c r="A59" s="1"/>
      <c r="B59" s="6" t="s">
        <v>386</v>
      </c>
      <c r="C59" s="819" t="s">
        <v>44</v>
      </c>
      <c r="D59" s="883"/>
      <c r="E59" s="134">
        <v>20</v>
      </c>
      <c r="F59" s="134">
        <v>22</v>
      </c>
      <c r="G59" s="135">
        <f t="shared" si="10"/>
        <v>110.00000000000001</v>
      </c>
      <c r="H59" s="918"/>
      <c r="I59" s="918">
        <v>2602</v>
      </c>
      <c r="J59" s="918">
        <v>2602</v>
      </c>
      <c r="K59" s="135">
        <f t="shared" si="17"/>
        <v>100</v>
      </c>
    </row>
    <row r="60" spans="1:11">
      <c r="A60" s="1"/>
      <c r="B60" s="6" t="s">
        <v>52</v>
      </c>
      <c r="C60" s="819" t="s">
        <v>9</v>
      </c>
      <c r="D60" s="134">
        <f>SUM(D61:D65)</f>
        <v>0</v>
      </c>
      <c r="E60" s="134">
        <f>SUM(E61:E66)</f>
        <v>291</v>
      </c>
      <c r="F60" s="134">
        <f t="shared" ref="F60" si="18">SUM(F61:F66)</f>
        <v>297</v>
      </c>
      <c r="G60" s="135">
        <f t="shared" si="10"/>
        <v>102.06185567010309</v>
      </c>
      <c r="H60" s="920"/>
      <c r="I60" s="920">
        <f t="shared" ref="I60:J60" si="19">SUM(I61:I66)</f>
        <v>21834</v>
      </c>
      <c r="J60" s="920">
        <f t="shared" si="19"/>
        <v>21834</v>
      </c>
      <c r="K60" s="135">
        <f t="shared" si="12"/>
        <v>100</v>
      </c>
    </row>
    <row r="61" spans="1:11">
      <c r="A61" s="1"/>
      <c r="B61" s="6" t="s">
        <v>53</v>
      </c>
      <c r="C61" s="819" t="s">
        <v>44</v>
      </c>
      <c r="D61" s="883"/>
      <c r="E61" s="134">
        <v>190</v>
      </c>
      <c r="F61" s="134">
        <v>190</v>
      </c>
      <c r="G61" s="135">
        <f t="shared" si="10"/>
        <v>100</v>
      </c>
      <c r="H61" s="918"/>
      <c r="I61" s="918">
        <v>9759</v>
      </c>
      <c r="J61" s="918">
        <v>9759</v>
      </c>
      <c r="K61" s="135">
        <f t="shared" si="12"/>
        <v>100</v>
      </c>
    </row>
    <row r="62" spans="1:11">
      <c r="A62" s="1"/>
      <c r="B62" s="6" t="s">
        <v>54</v>
      </c>
      <c r="C62" s="819" t="s">
        <v>44</v>
      </c>
      <c r="D62" s="883"/>
      <c r="E62" s="134">
        <f>16+14</f>
        <v>30</v>
      </c>
      <c r="F62" s="134">
        <f>16+14</f>
        <v>30</v>
      </c>
      <c r="G62" s="135">
        <f t="shared" si="10"/>
        <v>100</v>
      </c>
      <c r="H62" s="918"/>
      <c r="I62" s="918">
        <v>2746</v>
      </c>
      <c r="J62" s="918">
        <v>2746</v>
      </c>
      <c r="K62" s="135">
        <f t="shared" si="12"/>
        <v>100</v>
      </c>
    </row>
    <row r="63" spans="1:11">
      <c r="A63" s="1"/>
      <c r="B63" s="6" t="s">
        <v>55</v>
      </c>
      <c r="C63" s="819" t="s">
        <v>44</v>
      </c>
      <c r="D63" s="883"/>
      <c r="E63" s="134">
        <f>25+7</f>
        <v>32</v>
      </c>
      <c r="F63" s="134">
        <f>25+7</f>
        <v>32</v>
      </c>
      <c r="G63" s="135">
        <f t="shared" si="10"/>
        <v>100</v>
      </c>
      <c r="H63" s="918"/>
      <c r="I63" s="918">
        <v>3149</v>
      </c>
      <c r="J63" s="918">
        <v>3149</v>
      </c>
      <c r="K63" s="135">
        <f t="shared" si="12"/>
        <v>100</v>
      </c>
    </row>
    <row r="64" spans="1:11">
      <c r="A64" s="1"/>
      <c r="B64" s="6" t="s">
        <v>56</v>
      </c>
      <c r="C64" s="819" t="s">
        <v>44</v>
      </c>
      <c r="D64" s="883"/>
      <c r="E64" s="134">
        <v>12</v>
      </c>
      <c r="F64" s="134">
        <v>16</v>
      </c>
      <c r="G64" s="135">
        <f t="shared" si="10"/>
        <v>133.33333333333331</v>
      </c>
      <c r="H64" s="918"/>
      <c r="I64" s="918">
        <v>2602</v>
      </c>
      <c r="J64" s="918">
        <v>2602</v>
      </c>
      <c r="K64" s="135">
        <f t="shared" si="12"/>
        <v>100</v>
      </c>
    </row>
    <row r="65" spans="1:16">
      <c r="A65" s="1"/>
      <c r="B65" s="6" t="s">
        <v>199</v>
      </c>
      <c r="C65" s="819" t="s">
        <v>44</v>
      </c>
      <c r="D65" s="883"/>
      <c r="E65" s="134">
        <f>10+2</f>
        <v>12</v>
      </c>
      <c r="F65" s="134">
        <v>14</v>
      </c>
      <c r="G65" s="135">
        <f t="shared" si="10"/>
        <v>116.66666666666667</v>
      </c>
      <c r="H65" s="918"/>
      <c r="I65" s="918">
        <v>2928</v>
      </c>
      <c r="J65" s="918">
        <v>2928</v>
      </c>
      <c r="K65" s="135">
        <f t="shared" si="12"/>
        <v>100</v>
      </c>
    </row>
    <row r="66" spans="1:16">
      <c r="A66" s="1"/>
      <c r="B66" s="6" t="s">
        <v>362</v>
      </c>
      <c r="C66" s="819" t="s">
        <v>9</v>
      </c>
      <c r="D66" s="884"/>
      <c r="E66" s="134">
        <v>15</v>
      </c>
      <c r="F66" s="134">
        <v>15</v>
      </c>
      <c r="G66" s="135">
        <f t="shared" si="10"/>
        <v>100</v>
      </c>
      <c r="H66" s="918"/>
      <c r="I66" s="918">
        <v>650</v>
      </c>
      <c r="J66" s="918">
        <v>650</v>
      </c>
      <c r="K66" s="135">
        <f t="shared" si="12"/>
        <v>100</v>
      </c>
    </row>
    <row r="67" spans="1:16" ht="31.5">
      <c r="A67" s="5"/>
      <c r="B67" s="2" t="s">
        <v>19</v>
      </c>
      <c r="C67" s="904" t="s">
        <v>20</v>
      </c>
      <c r="D67" s="882"/>
      <c r="E67" s="132">
        <v>30</v>
      </c>
      <c r="F67" s="132">
        <v>30</v>
      </c>
      <c r="G67" s="133">
        <f t="shared" si="10"/>
        <v>100</v>
      </c>
      <c r="H67" s="919"/>
      <c r="I67" s="919">
        <v>2079</v>
      </c>
      <c r="J67" s="919">
        <v>2079</v>
      </c>
      <c r="K67" s="133">
        <f t="shared" si="12"/>
        <v>100</v>
      </c>
    </row>
    <row r="68" spans="1:16">
      <c r="A68" s="5"/>
      <c r="B68" s="2" t="s">
        <v>22</v>
      </c>
      <c r="C68" s="904" t="s">
        <v>25</v>
      </c>
      <c r="D68" s="882"/>
      <c r="E68" s="132">
        <v>8</v>
      </c>
      <c r="F68" s="132">
        <v>8</v>
      </c>
      <c r="G68" s="133">
        <f t="shared" si="10"/>
        <v>100</v>
      </c>
      <c r="H68" s="919"/>
      <c r="I68" s="919">
        <v>2971</v>
      </c>
      <c r="J68" s="919">
        <v>2971</v>
      </c>
      <c r="K68" s="133">
        <f t="shared" si="12"/>
        <v>100</v>
      </c>
    </row>
    <row r="69" spans="1:16" ht="31.5">
      <c r="A69" s="5"/>
      <c r="B69" s="2" t="s">
        <v>40</v>
      </c>
      <c r="C69" s="904" t="s">
        <v>382</v>
      </c>
      <c r="D69" s="882"/>
      <c r="E69" s="132">
        <v>114</v>
      </c>
      <c r="F69" s="132">
        <v>114</v>
      </c>
      <c r="G69" s="133">
        <f t="shared" si="10"/>
        <v>100</v>
      </c>
      <c r="H69" s="919"/>
      <c r="I69" s="919">
        <v>891</v>
      </c>
      <c r="J69" s="919">
        <v>891</v>
      </c>
      <c r="K69" s="133">
        <f t="shared" si="12"/>
        <v>100</v>
      </c>
    </row>
    <row r="70" spans="1:16" ht="63">
      <c r="A70" s="5"/>
      <c r="B70" s="2" t="s">
        <v>37</v>
      </c>
      <c r="C70" s="904" t="s">
        <v>20</v>
      </c>
      <c r="D70" s="882"/>
      <c r="E70" s="132">
        <v>1</v>
      </c>
      <c r="F70" s="132">
        <v>1</v>
      </c>
      <c r="G70" s="133">
        <f t="shared" si="10"/>
        <v>100</v>
      </c>
      <c r="H70" s="919"/>
      <c r="I70" s="919">
        <v>1782</v>
      </c>
      <c r="J70" s="919">
        <v>1782</v>
      </c>
      <c r="K70" s="133">
        <f t="shared" si="12"/>
        <v>100</v>
      </c>
    </row>
    <row r="71" spans="1:16" ht="31.5">
      <c r="A71" s="5"/>
      <c r="B71" s="2" t="s">
        <v>38</v>
      </c>
      <c r="C71" s="904" t="s">
        <v>383</v>
      </c>
      <c r="D71" s="882"/>
      <c r="E71" s="132">
        <v>750</v>
      </c>
      <c r="F71" s="132">
        <v>752</v>
      </c>
      <c r="G71" s="133">
        <f t="shared" si="10"/>
        <v>100.26666666666667</v>
      </c>
      <c r="H71" s="919"/>
      <c r="I71" s="919">
        <v>1188</v>
      </c>
      <c r="J71" s="919">
        <v>1188</v>
      </c>
      <c r="K71" s="133">
        <f t="shared" si="12"/>
        <v>100</v>
      </c>
    </row>
    <row r="72" spans="1:16" ht="40.5">
      <c r="A72" s="885" t="s">
        <v>267</v>
      </c>
      <c r="B72" s="886" t="s">
        <v>272</v>
      </c>
      <c r="C72" s="887"/>
      <c r="D72" s="888">
        <f>D73+D106+D115+D128+D129+D122+D127</f>
        <v>55919</v>
      </c>
      <c r="E72" s="888">
        <f>E73+E106+E115+E128+E129+E122+E127</f>
        <v>151738.13</v>
      </c>
      <c r="F72" s="888">
        <f>F73+F106+F115+F128+F129+F122+F127</f>
        <v>151748.13</v>
      </c>
      <c r="G72" s="889">
        <f>F72/E72*100</f>
        <v>100.00659030133032</v>
      </c>
      <c r="H72" s="917">
        <f>H73+H106+H115+H128+H129+H122+H127</f>
        <v>1711636.2999999998</v>
      </c>
      <c r="I72" s="917">
        <f>I73+I106+I115+I128+I129+I122+I127</f>
        <v>1804159.4</v>
      </c>
      <c r="J72" s="917">
        <f>J73+J106+J115+J128+J129+J122+J127</f>
        <v>1787176.4</v>
      </c>
      <c r="K72" s="890">
        <f t="shared" ref="K72:K114" si="20">J72/I72*100</f>
        <v>99.05867519244697</v>
      </c>
    </row>
    <row r="73" spans="1:16" ht="18.75">
      <c r="A73" s="885" t="s">
        <v>145</v>
      </c>
      <c r="B73" s="578" t="s">
        <v>273</v>
      </c>
      <c r="C73" s="339"/>
      <c r="D73" s="259">
        <f>D74+D84+D78+D88+D104</f>
        <v>15393</v>
      </c>
      <c r="E73" s="259">
        <f>E74+E84+E78+E88+E104</f>
        <v>15368</v>
      </c>
      <c r="F73" s="259">
        <f>F74+F84+F78+F88+F104</f>
        <v>15368</v>
      </c>
      <c r="G73" s="579">
        <f>F73/E73*100</f>
        <v>100</v>
      </c>
      <c r="H73" s="921">
        <f>H74+H84+H78+H88+H104</f>
        <v>906830</v>
      </c>
      <c r="I73" s="921">
        <f>I74+I84+I78+I88+I104</f>
        <v>940886</v>
      </c>
      <c r="J73" s="921">
        <f>J74+J84+J78+J88+J104</f>
        <v>933177</v>
      </c>
      <c r="K73" s="579">
        <f>J73/I73*100</f>
        <v>99.180665883008146</v>
      </c>
      <c r="L73" s="822">
        <f>1500+916814</f>
        <v>918314</v>
      </c>
      <c r="M73" s="822">
        <f>939727+1482</f>
        <v>941209</v>
      </c>
      <c r="N73" s="822">
        <f>931695+1482</f>
        <v>933177</v>
      </c>
    </row>
    <row r="74" spans="1:16" ht="31.5">
      <c r="A74" s="342"/>
      <c r="B74" s="204" t="s">
        <v>125</v>
      </c>
      <c r="C74" s="222" t="s">
        <v>61</v>
      </c>
      <c r="D74" s="344">
        <f>SUM(D75:D77)</f>
        <v>2264</v>
      </c>
      <c r="E74" s="344">
        <f t="shared" ref="E74:F74" si="21">SUM(E75:E77)</f>
        <v>2239</v>
      </c>
      <c r="F74" s="344">
        <f t="shared" si="21"/>
        <v>2239</v>
      </c>
      <c r="G74" s="257">
        <f>F74/E74*100</f>
        <v>100</v>
      </c>
      <c r="H74" s="922">
        <f>SUM(H75:H77)</f>
        <v>275864</v>
      </c>
      <c r="I74" s="922">
        <f t="shared" ref="I74:J74" si="22">SUM(I75:I77)</f>
        <v>289442</v>
      </c>
      <c r="J74" s="922">
        <f t="shared" si="22"/>
        <v>289381</v>
      </c>
      <c r="K74" s="257">
        <f>J74/I74*100</f>
        <v>99.978924965969014</v>
      </c>
      <c r="L74" s="824">
        <f>H73-L73</f>
        <v>-11484</v>
      </c>
      <c r="M74" s="824">
        <f>I73-M73</f>
        <v>-323</v>
      </c>
      <c r="N74" s="824">
        <f>J73-N73</f>
        <v>0</v>
      </c>
      <c r="P74" s="822" t="s">
        <v>393</v>
      </c>
    </row>
    <row r="75" spans="1:16" ht="31.5">
      <c r="A75" s="348"/>
      <c r="B75" s="6" t="s">
        <v>334</v>
      </c>
      <c r="C75" s="136" t="s">
        <v>61</v>
      </c>
      <c r="D75" s="195">
        <v>137</v>
      </c>
      <c r="E75" s="575">
        <v>144</v>
      </c>
      <c r="F75" s="575">
        <v>144</v>
      </c>
      <c r="G75" s="264">
        <f t="shared" ref="G75:G114" si="23">F75/E75*100</f>
        <v>100</v>
      </c>
      <c r="H75" s="923">
        <v>22257</v>
      </c>
      <c r="I75" s="923">
        <v>24874</v>
      </c>
      <c r="J75" s="923">
        <v>24871</v>
      </c>
      <c r="K75" s="32">
        <f t="shared" si="20"/>
        <v>99.987939213636736</v>
      </c>
      <c r="L75" s="824"/>
    </row>
    <row r="76" spans="1:16">
      <c r="A76" s="348"/>
      <c r="B76" s="6" t="s">
        <v>128</v>
      </c>
      <c r="C76" s="136" t="s">
        <v>61</v>
      </c>
      <c r="D76" s="195">
        <v>2124</v>
      </c>
      <c r="E76" s="575">
        <v>2093</v>
      </c>
      <c r="F76" s="575">
        <v>2093</v>
      </c>
      <c r="G76" s="264">
        <f t="shared" si="23"/>
        <v>100</v>
      </c>
      <c r="H76" s="924">
        <v>250952</v>
      </c>
      <c r="I76" s="923">
        <v>262699</v>
      </c>
      <c r="J76" s="923">
        <v>262641</v>
      </c>
      <c r="K76" s="32">
        <f t="shared" si="20"/>
        <v>99.977921499510842</v>
      </c>
      <c r="L76" s="824"/>
    </row>
    <row r="77" spans="1:16">
      <c r="A77" s="348"/>
      <c r="B77" s="6" t="s">
        <v>129</v>
      </c>
      <c r="C77" s="136" t="s">
        <v>61</v>
      </c>
      <c r="D77" s="195">
        <v>3</v>
      </c>
      <c r="E77" s="575">
        <v>2</v>
      </c>
      <c r="F77" s="575">
        <v>2</v>
      </c>
      <c r="G77" s="264">
        <f t="shared" si="23"/>
        <v>100</v>
      </c>
      <c r="H77" s="924">
        <v>2655</v>
      </c>
      <c r="I77" s="923">
        <v>1869</v>
      </c>
      <c r="J77" s="923">
        <v>1869</v>
      </c>
      <c r="K77" s="32">
        <f t="shared" si="20"/>
        <v>100</v>
      </c>
      <c r="L77" s="824"/>
    </row>
    <row r="78" spans="1:16" ht="31.5">
      <c r="A78" s="348"/>
      <c r="B78" s="204" t="s">
        <v>130</v>
      </c>
      <c r="C78" s="212" t="s">
        <v>61</v>
      </c>
      <c r="D78" s="576">
        <f>SUM(D79:D83)</f>
        <v>2627</v>
      </c>
      <c r="E78" s="576">
        <f t="shared" ref="E78:F78" si="24">SUM(E79:E83)</f>
        <v>2614</v>
      </c>
      <c r="F78" s="576">
        <f t="shared" si="24"/>
        <v>2614</v>
      </c>
      <c r="G78" s="361">
        <f t="shared" si="23"/>
        <v>100</v>
      </c>
      <c r="H78" s="925">
        <f>SUM(H79:H83)</f>
        <v>381217</v>
      </c>
      <c r="I78" s="925">
        <f t="shared" ref="I78:J78" si="25">SUM(I79:I83)</f>
        <v>404158</v>
      </c>
      <c r="J78" s="925">
        <f t="shared" si="25"/>
        <v>404088</v>
      </c>
      <c r="K78" s="580">
        <f t="shared" si="20"/>
        <v>99.982680040974074</v>
      </c>
      <c r="L78" s="824"/>
    </row>
    <row r="79" spans="1:16" ht="31.5">
      <c r="A79" s="348"/>
      <c r="B79" s="6" t="s">
        <v>336</v>
      </c>
      <c r="C79" s="136" t="s">
        <v>61</v>
      </c>
      <c r="D79" s="195">
        <v>220</v>
      </c>
      <c r="E79" s="575">
        <v>231</v>
      </c>
      <c r="F79" s="575">
        <v>231</v>
      </c>
      <c r="G79" s="264">
        <f t="shared" si="23"/>
        <v>100</v>
      </c>
      <c r="H79" s="923">
        <v>40002</v>
      </c>
      <c r="I79" s="923">
        <v>43039</v>
      </c>
      <c r="J79" s="923">
        <v>43033</v>
      </c>
      <c r="K79" s="32">
        <f t="shared" si="20"/>
        <v>99.986059155649528</v>
      </c>
      <c r="L79" s="824"/>
    </row>
    <row r="80" spans="1:16" ht="47.25">
      <c r="A80" s="342"/>
      <c r="B80" s="6" t="s">
        <v>337</v>
      </c>
      <c r="C80" s="136" t="s">
        <v>61</v>
      </c>
      <c r="D80" s="575">
        <v>5</v>
      </c>
      <c r="E80" s="575">
        <v>4</v>
      </c>
      <c r="F80" s="575">
        <v>4</v>
      </c>
      <c r="G80" s="257">
        <f>F80/E80*100</f>
        <v>100</v>
      </c>
      <c r="H80" s="926">
        <v>4426</v>
      </c>
      <c r="I80" s="926">
        <v>3742</v>
      </c>
      <c r="J80" s="926">
        <v>3742</v>
      </c>
      <c r="K80" s="32">
        <f t="shared" si="20"/>
        <v>100</v>
      </c>
      <c r="L80" s="824"/>
    </row>
    <row r="81" spans="1:17" ht="47.25">
      <c r="A81" s="348"/>
      <c r="B81" s="6" t="s">
        <v>338</v>
      </c>
      <c r="C81" s="136" t="s">
        <v>61</v>
      </c>
      <c r="D81" s="195">
        <v>255</v>
      </c>
      <c r="E81" s="575">
        <v>271</v>
      </c>
      <c r="F81" s="575">
        <v>271</v>
      </c>
      <c r="G81" s="264">
        <f t="shared" si="23"/>
        <v>100</v>
      </c>
      <c r="H81" s="923">
        <v>38778</v>
      </c>
      <c r="I81" s="923">
        <v>43767</v>
      </c>
      <c r="J81" s="923">
        <v>43767</v>
      </c>
      <c r="K81" s="32">
        <f t="shared" si="20"/>
        <v>100</v>
      </c>
      <c r="L81" s="824"/>
    </row>
    <row r="82" spans="1:17">
      <c r="A82" s="348"/>
      <c r="B82" s="6" t="s">
        <v>134</v>
      </c>
      <c r="C82" s="136" t="s">
        <v>61</v>
      </c>
      <c r="D82" s="195">
        <v>2144</v>
      </c>
      <c r="E82" s="575">
        <v>2103</v>
      </c>
      <c r="F82" s="575">
        <v>2103</v>
      </c>
      <c r="G82" s="264">
        <f t="shared" si="23"/>
        <v>100</v>
      </c>
      <c r="H82" s="923">
        <v>295356</v>
      </c>
      <c r="I82" s="923">
        <v>308933</v>
      </c>
      <c r="J82" s="923">
        <v>308869</v>
      </c>
      <c r="K82" s="32">
        <f>J82/I82*100</f>
        <v>99.979283533970147</v>
      </c>
      <c r="L82" s="824"/>
    </row>
    <row r="83" spans="1:17">
      <c r="A83" s="348"/>
      <c r="B83" s="6" t="s">
        <v>192</v>
      </c>
      <c r="C83" s="136" t="s">
        <v>61</v>
      </c>
      <c r="D83" s="195">
        <v>3</v>
      </c>
      <c r="E83" s="575">
        <v>5</v>
      </c>
      <c r="F83" s="575">
        <v>5</v>
      </c>
      <c r="G83" s="264">
        <f t="shared" si="23"/>
        <v>100</v>
      </c>
      <c r="H83" s="923">
        <v>2655</v>
      </c>
      <c r="I83" s="923">
        <v>4677</v>
      </c>
      <c r="J83" s="923">
        <v>4677</v>
      </c>
      <c r="K83" s="32">
        <f t="shared" si="20"/>
        <v>100</v>
      </c>
      <c r="L83" s="824"/>
    </row>
    <row r="84" spans="1:17" ht="31.5">
      <c r="A84" s="356"/>
      <c r="B84" s="204" t="s">
        <v>136</v>
      </c>
      <c r="C84" s="205" t="s">
        <v>61</v>
      </c>
      <c r="D84" s="576">
        <f>SUM(D85:D87)</f>
        <v>493</v>
      </c>
      <c r="E84" s="576">
        <f>SUM(E85:E87)</f>
        <v>481</v>
      </c>
      <c r="F84" s="576">
        <f>SUM(F85:F87)</f>
        <v>481</v>
      </c>
      <c r="G84" s="361">
        <f t="shared" si="23"/>
        <v>100</v>
      </c>
      <c r="H84" s="925">
        <f>SUM(H85:H87)</f>
        <v>80384</v>
      </c>
      <c r="I84" s="925">
        <f>SUM(I85:I87)</f>
        <v>83551</v>
      </c>
      <c r="J84" s="925">
        <f>SUM(J85:J87)</f>
        <v>83537</v>
      </c>
      <c r="K84" s="580">
        <f t="shared" si="20"/>
        <v>99.983243767279859</v>
      </c>
      <c r="L84" s="824"/>
    </row>
    <row r="85" spans="1:17" ht="47.25">
      <c r="A85" s="348"/>
      <c r="B85" s="6" t="s">
        <v>341</v>
      </c>
      <c r="C85" s="136" t="s">
        <v>61</v>
      </c>
      <c r="D85" s="195">
        <v>455</v>
      </c>
      <c r="E85" s="575">
        <v>455</v>
      </c>
      <c r="F85" s="575">
        <v>455</v>
      </c>
      <c r="G85" s="264">
        <f t="shared" si="23"/>
        <v>100</v>
      </c>
      <c r="H85" s="924">
        <v>73746</v>
      </c>
      <c r="I85" s="923">
        <v>78518</v>
      </c>
      <c r="J85" s="923">
        <v>78506</v>
      </c>
      <c r="K85" s="32">
        <f t="shared" si="20"/>
        <v>99.984716880205809</v>
      </c>
      <c r="L85" s="824"/>
    </row>
    <row r="86" spans="1:17" ht="47.25">
      <c r="A86" s="348"/>
      <c r="B86" s="6" t="s">
        <v>342</v>
      </c>
      <c r="C86" s="136" t="s">
        <v>61</v>
      </c>
      <c r="D86" s="195">
        <v>1</v>
      </c>
      <c r="E86" s="575">
        <v>1</v>
      </c>
      <c r="F86" s="575">
        <v>1</v>
      </c>
      <c r="G86" s="264">
        <f t="shared" si="23"/>
        <v>100</v>
      </c>
      <c r="H86" s="924">
        <v>885</v>
      </c>
      <c r="I86" s="923">
        <v>936</v>
      </c>
      <c r="J86" s="923">
        <v>935</v>
      </c>
      <c r="K86" s="32">
        <f t="shared" si="20"/>
        <v>99.893162393162399</v>
      </c>
      <c r="L86" s="824"/>
    </row>
    <row r="87" spans="1:17">
      <c r="A87" s="348"/>
      <c r="B87" s="6" t="s">
        <v>141</v>
      </c>
      <c r="C87" s="136" t="s">
        <v>61</v>
      </c>
      <c r="D87" s="195">
        <v>37</v>
      </c>
      <c r="E87" s="575">
        <v>25</v>
      </c>
      <c r="F87" s="575">
        <v>25</v>
      </c>
      <c r="G87" s="264">
        <f t="shared" si="23"/>
        <v>100</v>
      </c>
      <c r="H87" s="924">
        <v>5753</v>
      </c>
      <c r="I87" s="924">
        <v>4097</v>
      </c>
      <c r="J87" s="924">
        <v>4096</v>
      </c>
      <c r="K87" s="32">
        <f t="shared" si="20"/>
        <v>99.975591896509641</v>
      </c>
      <c r="L87" s="824"/>
    </row>
    <row r="88" spans="1:17">
      <c r="A88" s="356"/>
      <c r="B88" s="204" t="s">
        <v>64</v>
      </c>
      <c r="C88" s="205" t="s">
        <v>61</v>
      </c>
      <c r="D88" s="576">
        <f>D89+D93+D96+D99+D101</f>
        <v>4726</v>
      </c>
      <c r="E88" s="576">
        <f>E89+E93+E96+E99+E101</f>
        <v>4751</v>
      </c>
      <c r="F88" s="576">
        <f>F89+F93+F96+F99+F101</f>
        <v>4751</v>
      </c>
      <c r="G88" s="361">
        <f t="shared" si="23"/>
        <v>100</v>
      </c>
      <c r="H88" s="925">
        <f>H89+H93+H96+H99+H101</f>
        <v>158006</v>
      </c>
      <c r="I88" s="925">
        <f>I89+I93+I96+I99+I101</f>
        <v>151716</v>
      </c>
      <c r="J88" s="925">
        <f>J89+J93+J96+J99+J101</f>
        <v>144152</v>
      </c>
      <c r="K88" s="580">
        <f t="shared" si="20"/>
        <v>95.014368952516548</v>
      </c>
      <c r="L88" s="824"/>
    </row>
    <row r="89" spans="1:17" ht="31.5">
      <c r="A89" s="348"/>
      <c r="B89" s="6" t="s">
        <v>66</v>
      </c>
      <c r="C89" s="136" t="s">
        <v>61</v>
      </c>
      <c r="D89" s="195">
        <f>SUM(D90:D92)</f>
        <v>1757</v>
      </c>
      <c r="E89" s="195">
        <f t="shared" ref="E89:F89" si="26">SUM(E90:E92)</f>
        <v>1750</v>
      </c>
      <c r="F89" s="195">
        <f t="shared" si="26"/>
        <v>1750</v>
      </c>
      <c r="G89" s="264">
        <f t="shared" si="23"/>
        <v>100</v>
      </c>
      <c r="H89" s="927">
        <f>SUM(H90:H92)</f>
        <v>97590</v>
      </c>
      <c r="I89" s="927">
        <f t="shared" ref="I89:J89" si="27">SUM(I90:I92)</f>
        <v>96100</v>
      </c>
      <c r="J89" s="927">
        <f t="shared" si="27"/>
        <v>91312</v>
      </c>
      <c r="K89" s="32">
        <f t="shared" si="20"/>
        <v>95.017689906347556</v>
      </c>
    </row>
    <row r="90" spans="1:17">
      <c r="A90" s="348"/>
      <c r="B90" s="37" t="s">
        <v>67</v>
      </c>
      <c r="C90" s="136" t="s">
        <v>61</v>
      </c>
      <c r="D90" s="195">
        <v>770</v>
      </c>
      <c r="E90" s="575">
        <v>777</v>
      </c>
      <c r="F90" s="575">
        <v>777</v>
      </c>
      <c r="G90" s="264">
        <f t="shared" si="23"/>
        <v>100</v>
      </c>
      <c r="H90" s="923">
        <v>42769</v>
      </c>
      <c r="I90" s="923">
        <v>42692</v>
      </c>
      <c r="J90" s="923">
        <v>40569</v>
      </c>
      <c r="K90" s="32">
        <f t="shared" si="20"/>
        <v>95.027171367000847</v>
      </c>
      <c r="L90" s="824"/>
    </row>
    <row r="91" spans="1:17">
      <c r="A91" s="348"/>
      <c r="B91" s="37" t="s">
        <v>68</v>
      </c>
      <c r="C91" s="136" t="s">
        <v>61</v>
      </c>
      <c r="D91" s="195">
        <v>878</v>
      </c>
      <c r="E91" s="575">
        <v>867</v>
      </c>
      <c r="F91" s="575">
        <v>867</v>
      </c>
      <c r="G91" s="264">
        <v>0</v>
      </c>
      <c r="H91" s="924">
        <v>48767</v>
      </c>
      <c r="I91" s="924">
        <v>47568</v>
      </c>
      <c r="J91" s="924">
        <v>45155</v>
      </c>
      <c r="K91" s="32">
        <f t="shared" si="20"/>
        <v>94.92726202489068</v>
      </c>
      <c r="L91" s="824"/>
    </row>
    <row r="92" spans="1:17">
      <c r="A92" s="348"/>
      <c r="B92" s="37" t="s">
        <v>69</v>
      </c>
      <c r="C92" s="136" t="s">
        <v>61</v>
      </c>
      <c r="D92" s="195">
        <v>109</v>
      </c>
      <c r="E92" s="575">
        <v>106</v>
      </c>
      <c r="F92" s="575">
        <v>106</v>
      </c>
      <c r="G92" s="264">
        <f t="shared" si="23"/>
        <v>100</v>
      </c>
      <c r="H92" s="924">
        <v>6054</v>
      </c>
      <c r="I92" s="924">
        <v>5840</v>
      </c>
      <c r="J92" s="924">
        <v>5588</v>
      </c>
      <c r="K92" s="32">
        <f t="shared" si="20"/>
        <v>95.68493150684931</v>
      </c>
      <c r="L92" s="824"/>
    </row>
    <row r="93" spans="1:17" ht="31.5">
      <c r="A93" s="348"/>
      <c r="B93" s="6" t="s">
        <v>71</v>
      </c>
      <c r="C93" s="136" t="s">
        <v>61</v>
      </c>
      <c r="D93" s="195">
        <f>SUM(D94:D95)</f>
        <v>5</v>
      </c>
      <c r="E93" s="195">
        <f>SUM(E94:E95)</f>
        <v>5</v>
      </c>
      <c r="F93" s="195">
        <f>SUM(F94:F95)</f>
        <v>5</v>
      </c>
      <c r="G93" s="264">
        <f t="shared" si="23"/>
        <v>100</v>
      </c>
      <c r="H93" s="927">
        <f>SUM(H94:H95)</f>
        <v>155</v>
      </c>
      <c r="I93" s="927">
        <f>SUM(I94:I95)</f>
        <v>145</v>
      </c>
      <c r="J93" s="927">
        <f>SUM(J94:J95)</f>
        <v>145</v>
      </c>
      <c r="K93" s="32">
        <f t="shared" si="20"/>
        <v>100</v>
      </c>
      <c r="L93" s="824"/>
    </row>
    <row r="94" spans="1:17" s="19" customFormat="1">
      <c r="A94" s="356"/>
      <c r="B94" s="37" t="s">
        <v>67</v>
      </c>
      <c r="C94" s="136" t="s">
        <v>61</v>
      </c>
      <c r="D94" s="575">
        <v>2</v>
      </c>
      <c r="E94" s="575">
        <v>0</v>
      </c>
      <c r="F94" s="575">
        <v>0</v>
      </c>
      <c r="G94" s="264">
        <v>0</v>
      </c>
      <c r="H94" s="927">
        <v>62</v>
      </c>
      <c r="I94" s="927">
        <v>0</v>
      </c>
      <c r="J94" s="927">
        <v>0</v>
      </c>
      <c r="K94" s="32">
        <v>0</v>
      </c>
      <c r="L94" s="824"/>
      <c r="M94" s="821"/>
      <c r="N94" s="821"/>
      <c r="O94" s="821"/>
      <c r="P94" s="821"/>
      <c r="Q94" s="821"/>
    </row>
    <row r="95" spans="1:17">
      <c r="A95" s="348"/>
      <c r="B95" s="37" t="s">
        <v>68</v>
      </c>
      <c r="C95" s="136" t="s">
        <v>61</v>
      </c>
      <c r="D95" s="195">
        <v>3</v>
      </c>
      <c r="E95" s="575">
        <v>5</v>
      </c>
      <c r="F95" s="575">
        <v>5</v>
      </c>
      <c r="G95" s="264">
        <f t="shared" si="23"/>
        <v>100</v>
      </c>
      <c r="H95" s="923">
        <v>93</v>
      </c>
      <c r="I95" s="923">
        <v>145</v>
      </c>
      <c r="J95" s="923">
        <v>145</v>
      </c>
      <c r="K95" s="32">
        <f t="shared" si="20"/>
        <v>100</v>
      </c>
      <c r="L95" s="824"/>
    </row>
    <row r="96" spans="1:17" ht="47.25">
      <c r="A96" s="348"/>
      <c r="B96" s="6" t="s">
        <v>73</v>
      </c>
      <c r="C96" s="136" t="s">
        <v>61</v>
      </c>
      <c r="D96" s="195">
        <f>SUM(D97:D98)</f>
        <v>1418</v>
      </c>
      <c r="E96" s="195">
        <f>SUM(E97:E98)</f>
        <v>1491</v>
      </c>
      <c r="F96" s="195">
        <f>SUM(F97:F98)</f>
        <v>1491</v>
      </c>
      <c r="G96" s="264">
        <f t="shared" si="23"/>
        <v>100</v>
      </c>
      <c r="H96" s="923">
        <f>SUM(H97:H98)</f>
        <v>21214</v>
      </c>
      <c r="I96" s="923">
        <f>SUM(I97:I98)</f>
        <v>21865</v>
      </c>
      <c r="J96" s="923">
        <f>SUM(J97:J98)</f>
        <v>21168</v>
      </c>
      <c r="K96" s="32">
        <f t="shared" si="20"/>
        <v>96.812257031785961</v>
      </c>
      <c r="L96" s="824"/>
    </row>
    <row r="97" spans="1:14">
      <c r="A97" s="348"/>
      <c r="B97" s="37" t="s">
        <v>68</v>
      </c>
      <c r="C97" s="136" t="s">
        <v>61</v>
      </c>
      <c r="D97" s="195">
        <v>1240</v>
      </c>
      <c r="E97" s="575">
        <v>1280</v>
      </c>
      <c r="F97" s="575">
        <v>1280</v>
      </c>
      <c r="G97" s="264">
        <f t="shared" si="23"/>
        <v>100</v>
      </c>
      <c r="H97" s="924">
        <v>18551</v>
      </c>
      <c r="I97" s="924">
        <v>18790</v>
      </c>
      <c r="J97" s="924">
        <v>18198</v>
      </c>
      <c r="K97" s="32">
        <f t="shared" si="20"/>
        <v>96.849387972325701</v>
      </c>
      <c r="L97" s="824"/>
    </row>
    <row r="98" spans="1:14">
      <c r="A98" s="348"/>
      <c r="B98" s="37" t="s">
        <v>69</v>
      </c>
      <c r="C98" s="136" t="s">
        <v>61</v>
      </c>
      <c r="D98" s="195">
        <v>178</v>
      </c>
      <c r="E98" s="575">
        <v>211</v>
      </c>
      <c r="F98" s="575">
        <v>211</v>
      </c>
      <c r="G98" s="264">
        <v>0</v>
      </c>
      <c r="H98" s="924">
        <v>2663</v>
      </c>
      <c r="I98" s="923">
        <v>3075</v>
      </c>
      <c r="J98" s="923">
        <v>2970</v>
      </c>
      <c r="K98" s="32">
        <f t="shared" si="20"/>
        <v>96.58536585365853</v>
      </c>
      <c r="L98" s="824"/>
    </row>
    <row r="99" spans="1:14" ht="47.25">
      <c r="A99" s="348"/>
      <c r="B99" s="6" t="s">
        <v>75</v>
      </c>
      <c r="C99" s="136" t="s">
        <v>61</v>
      </c>
      <c r="D99" s="195">
        <f>SUM(D100:D100)</f>
        <v>1492</v>
      </c>
      <c r="E99" s="195">
        <f>SUM(E100:E100)</f>
        <v>1462</v>
      </c>
      <c r="F99" s="195">
        <f>SUM(F100:F100)</f>
        <v>1462</v>
      </c>
      <c r="G99" s="264">
        <f t="shared" si="23"/>
        <v>100</v>
      </c>
      <c r="H99" s="923">
        <f>SUM(H100:H100)</f>
        <v>37240</v>
      </c>
      <c r="I99" s="923">
        <f>SUM(I100:I100)</f>
        <v>32420</v>
      </c>
      <c r="J99" s="923">
        <f>SUM(J100:J100)</f>
        <v>30427</v>
      </c>
      <c r="K99" s="32">
        <f t="shared" si="20"/>
        <v>93.852560148056753</v>
      </c>
      <c r="L99" s="824"/>
    </row>
    <row r="100" spans="1:14">
      <c r="A100" s="348"/>
      <c r="B100" s="37" t="s">
        <v>67</v>
      </c>
      <c r="C100" s="136" t="s">
        <v>61</v>
      </c>
      <c r="D100" s="195">
        <v>1492</v>
      </c>
      <c r="E100" s="575">
        <v>1462</v>
      </c>
      <c r="F100" s="575">
        <v>1462</v>
      </c>
      <c r="G100" s="264">
        <f t="shared" si="23"/>
        <v>100</v>
      </c>
      <c r="H100" s="923">
        <v>37240</v>
      </c>
      <c r="I100" s="923">
        <v>32420</v>
      </c>
      <c r="J100" s="923">
        <v>30427</v>
      </c>
      <c r="K100" s="32">
        <f t="shared" si="20"/>
        <v>93.852560148056753</v>
      </c>
      <c r="L100" s="824"/>
    </row>
    <row r="101" spans="1:14" ht="47.25">
      <c r="A101" s="348"/>
      <c r="B101" s="6" t="s">
        <v>343</v>
      </c>
      <c r="C101" s="136" t="s">
        <v>61</v>
      </c>
      <c r="D101" s="195">
        <f>SUM(D102:D103)</f>
        <v>54</v>
      </c>
      <c r="E101" s="195">
        <f>SUM(E102:E103)</f>
        <v>43</v>
      </c>
      <c r="F101" s="195">
        <f>SUM(F102:F103)</f>
        <v>43</v>
      </c>
      <c r="G101" s="264">
        <f t="shared" si="23"/>
        <v>100</v>
      </c>
      <c r="H101" s="923">
        <f>SUM(H102:H103)</f>
        <v>1807</v>
      </c>
      <c r="I101" s="923">
        <f>SUM(I102:I103)</f>
        <v>1186</v>
      </c>
      <c r="J101" s="923">
        <f>SUM(J102:J103)</f>
        <v>1100</v>
      </c>
      <c r="K101" s="32">
        <f t="shared" si="20"/>
        <v>92.748735244519395</v>
      </c>
      <c r="L101" s="824"/>
    </row>
    <row r="102" spans="1:14">
      <c r="A102" s="348"/>
      <c r="B102" s="37" t="s">
        <v>68</v>
      </c>
      <c r="C102" s="136" t="s">
        <v>61</v>
      </c>
      <c r="D102" s="195">
        <v>50</v>
      </c>
      <c r="E102" s="575">
        <v>40</v>
      </c>
      <c r="F102" s="575">
        <v>40</v>
      </c>
      <c r="G102" s="264">
        <f t="shared" si="23"/>
        <v>100</v>
      </c>
      <c r="H102" s="923">
        <v>1673</v>
      </c>
      <c r="I102" s="923">
        <v>1103</v>
      </c>
      <c r="J102" s="923">
        <v>1023</v>
      </c>
      <c r="K102" s="32">
        <f t="shared" si="20"/>
        <v>92.747053490480496</v>
      </c>
      <c r="L102" s="824"/>
    </row>
    <row r="103" spans="1:14">
      <c r="A103" s="348"/>
      <c r="B103" s="37" t="s">
        <v>69</v>
      </c>
      <c r="C103" s="136" t="s">
        <v>61</v>
      </c>
      <c r="D103" s="195">
        <v>4</v>
      </c>
      <c r="E103" s="575">
        <v>3</v>
      </c>
      <c r="F103" s="575">
        <v>3</v>
      </c>
      <c r="G103" s="264">
        <f t="shared" si="23"/>
        <v>100</v>
      </c>
      <c r="H103" s="923">
        <v>134</v>
      </c>
      <c r="I103" s="923">
        <v>83</v>
      </c>
      <c r="J103" s="923">
        <v>77</v>
      </c>
      <c r="K103" s="32">
        <f t="shared" si="20"/>
        <v>92.771084337349393</v>
      </c>
      <c r="L103" s="824"/>
    </row>
    <row r="104" spans="1:14">
      <c r="A104" s="356"/>
      <c r="B104" s="204" t="s">
        <v>78</v>
      </c>
      <c r="C104" s="205" t="s">
        <v>5</v>
      </c>
      <c r="D104" s="344">
        <f>D105</f>
        <v>5283</v>
      </c>
      <c r="E104" s="344">
        <f t="shared" ref="E104:F104" si="28">E105</f>
        <v>5283</v>
      </c>
      <c r="F104" s="344">
        <f t="shared" si="28"/>
        <v>5283</v>
      </c>
      <c r="G104" s="257">
        <f t="shared" si="23"/>
        <v>100</v>
      </c>
      <c r="H104" s="922">
        <f>H105</f>
        <v>11359</v>
      </c>
      <c r="I104" s="922">
        <f>I105</f>
        <v>12019</v>
      </c>
      <c r="J104" s="922">
        <f>J105</f>
        <v>12019</v>
      </c>
      <c r="K104" s="579">
        <f t="shared" si="20"/>
        <v>100</v>
      </c>
    </row>
    <row r="105" spans="1:14">
      <c r="A105" s="348"/>
      <c r="B105" s="6" t="s">
        <v>79</v>
      </c>
      <c r="C105" s="136" t="s">
        <v>5</v>
      </c>
      <c r="D105" s="195">
        <v>5283</v>
      </c>
      <c r="E105" s="575">
        <v>5283</v>
      </c>
      <c r="F105" s="575">
        <v>5283</v>
      </c>
      <c r="G105" s="264">
        <f t="shared" si="23"/>
        <v>100</v>
      </c>
      <c r="H105" s="924">
        <v>11359</v>
      </c>
      <c r="I105" s="924">
        <v>12019</v>
      </c>
      <c r="J105" s="924">
        <v>12019</v>
      </c>
      <c r="K105" s="32">
        <f t="shared" si="20"/>
        <v>100</v>
      </c>
    </row>
    <row r="106" spans="1:14" ht="24" customHeight="1">
      <c r="A106" s="885" t="s">
        <v>146</v>
      </c>
      <c r="B106" s="599" t="s">
        <v>292</v>
      </c>
      <c r="C106" s="582"/>
      <c r="D106" s="583">
        <f>D107+D111</f>
        <v>4410</v>
      </c>
      <c r="E106" s="583">
        <f t="shared" ref="E106:F106" si="29">E107+E111</f>
        <v>4534</v>
      </c>
      <c r="F106" s="583">
        <f t="shared" si="29"/>
        <v>4536</v>
      </c>
      <c r="G106" s="584">
        <f t="shared" si="23"/>
        <v>100.04411116012351</v>
      </c>
      <c r="H106" s="928">
        <f>H107+H111</f>
        <v>726573.9</v>
      </c>
      <c r="I106" s="928">
        <f t="shared" ref="I106:J106" si="30">I107+I111</f>
        <v>777907</v>
      </c>
      <c r="J106" s="928">
        <f t="shared" si="30"/>
        <v>777907</v>
      </c>
      <c r="K106" s="585">
        <f t="shared" si="20"/>
        <v>100</v>
      </c>
      <c r="L106" s="822">
        <f>1320+725254</f>
        <v>726574</v>
      </c>
      <c r="M106" s="822">
        <f>785171+1282</f>
        <v>786453</v>
      </c>
      <c r="N106" s="822">
        <f>776624+1282</f>
        <v>777906</v>
      </c>
    </row>
    <row r="107" spans="1:14">
      <c r="A107" s="203"/>
      <c r="B107" s="204" t="s">
        <v>89</v>
      </c>
      <c r="C107" s="205" t="s">
        <v>90</v>
      </c>
      <c r="D107" s="576">
        <v>2205</v>
      </c>
      <c r="E107" s="576">
        <v>2267</v>
      </c>
      <c r="F107" s="576">
        <v>2268</v>
      </c>
      <c r="G107" s="264">
        <f t="shared" si="23"/>
        <v>100.04411116012351</v>
      </c>
      <c r="H107" s="925">
        <v>5196</v>
      </c>
      <c r="I107" s="925">
        <f>SUM(I108:I110)</f>
        <v>5400</v>
      </c>
      <c r="J107" s="925">
        <f>SUM(J108:J110)</f>
        <v>5400</v>
      </c>
      <c r="K107" s="32">
        <f t="shared" si="20"/>
        <v>100</v>
      </c>
      <c r="L107" s="824">
        <f>H106-L106</f>
        <v>-9.9999999976716936E-2</v>
      </c>
      <c r="M107" s="824">
        <f t="shared" ref="M107:N107" si="31">I106-M106</f>
        <v>-8546</v>
      </c>
      <c r="N107" s="824">
        <f t="shared" si="31"/>
        <v>1</v>
      </c>
    </row>
    <row r="108" spans="1:14">
      <c r="A108" s="5"/>
      <c r="B108" s="707" t="s">
        <v>91</v>
      </c>
      <c r="C108" s="136" t="s">
        <v>90</v>
      </c>
      <c r="D108" s="195">
        <v>2150</v>
      </c>
      <c r="E108" s="195">
        <v>2205</v>
      </c>
      <c r="F108" s="195">
        <v>2205</v>
      </c>
      <c r="G108" s="264">
        <f t="shared" si="23"/>
        <v>100</v>
      </c>
      <c r="H108" s="924">
        <v>3454</v>
      </c>
      <c r="I108" s="923">
        <v>3444</v>
      </c>
      <c r="J108" s="923">
        <v>3444</v>
      </c>
      <c r="K108" s="32">
        <f t="shared" si="20"/>
        <v>100</v>
      </c>
    </row>
    <row r="109" spans="1:14">
      <c r="A109" s="5"/>
      <c r="B109" s="6" t="s">
        <v>92</v>
      </c>
      <c r="C109" s="136" t="s">
        <v>90</v>
      </c>
      <c r="D109" s="195">
        <v>33</v>
      </c>
      <c r="E109" s="195">
        <v>36</v>
      </c>
      <c r="F109" s="195">
        <v>37</v>
      </c>
      <c r="G109" s="264">
        <f t="shared" si="23"/>
        <v>102.77777777777777</v>
      </c>
      <c r="H109" s="924">
        <v>1117</v>
      </c>
      <c r="I109" s="923">
        <v>1165</v>
      </c>
      <c r="J109" s="923">
        <v>1165</v>
      </c>
      <c r="K109" s="32">
        <f t="shared" si="20"/>
        <v>100</v>
      </c>
    </row>
    <row r="110" spans="1:14">
      <c r="A110" s="5"/>
      <c r="B110" s="6" t="s">
        <v>94</v>
      </c>
      <c r="C110" s="136" t="s">
        <v>90</v>
      </c>
      <c r="D110" s="259">
        <v>22</v>
      </c>
      <c r="E110" s="195">
        <v>26</v>
      </c>
      <c r="F110" s="195">
        <v>26</v>
      </c>
      <c r="G110" s="264">
        <f t="shared" si="23"/>
        <v>100</v>
      </c>
      <c r="H110" s="926">
        <v>625</v>
      </c>
      <c r="I110" s="926">
        <v>791</v>
      </c>
      <c r="J110" s="926">
        <v>791</v>
      </c>
      <c r="K110" s="32">
        <f t="shared" si="20"/>
        <v>100</v>
      </c>
    </row>
    <row r="111" spans="1:14" ht="31.5">
      <c r="A111" s="203"/>
      <c r="B111" s="204" t="s">
        <v>96</v>
      </c>
      <c r="C111" s="205" t="s">
        <v>61</v>
      </c>
      <c r="D111" s="259">
        <v>2205</v>
      </c>
      <c r="E111" s="259">
        <v>2267</v>
      </c>
      <c r="F111" s="259">
        <v>2268</v>
      </c>
      <c r="G111" s="264">
        <f t="shared" si="23"/>
        <v>100.04411116012351</v>
      </c>
      <c r="H111" s="921">
        <v>721377.9</v>
      </c>
      <c r="I111" s="921">
        <f>SUM(I112:I114)</f>
        <v>772507</v>
      </c>
      <c r="J111" s="921">
        <f>SUM(J112:J114)</f>
        <v>772507</v>
      </c>
      <c r="K111" s="32">
        <f t="shared" si="20"/>
        <v>100</v>
      </c>
    </row>
    <row r="112" spans="1:14">
      <c r="A112" s="5"/>
      <c r="B112" s="6" t="s">
        <v>98</v>
      </c>
      <c r="C112" s="136" t="s">
        <v>61</v>
      </c>
      <c r="D112" s="266">
        <v>363</v>
      </c>
      <c r="E112" s="195">
        <v>403</v>
      </c>
      <c r="F112" s="195">
        <v>403</v>
      </c>
      <c r="G112" s="264">
        <f t="shared" si="23"/>
        <v>100</v>
      </c>
      <c r="H112" s="923">
        <v>108576</v>
      </c>
      <c r="I112" s="923">
        <v>122475</v>
      </c>
      <c r="J112" s="923">
        <v>122475</v>
      </c>
      <c r="K112" s="32">
        <f t="shared" si="20"/>
        <v>100</v>
      </c>
    </row>
    <row r="113" spans="1:17">
      <c r="A113" s="5"/>
      <c r="B113" s="6" t="s">
        <v>100</v>
      </c>
      <c r="C113" s="136" t="s">
        <v>61</v>
      </c>
      <c r="D113" s="266">
        <v>1536</v>
      </c>
      <c r="E113" s="195">
        <v>1557</v>
      </c>
      <c r="F113" s="195">
        <v>1557</v>
      </c>
      <c r="G113" s="264">
        <f t="shared" si="23"/>
        <v>100</v>
      </c>
      <c r="H113" s="923">
        <v>404278</v>
      </c>
      <c r="I113" s="923">
        <v>414012</v>
      </c>
      <c r="J113" s="923">
        <v>414012</v>
      </c>
      <c r="K113" s="32">
        <f t="shared" si="20"/>
        <v>100</v>
      </c>
    </row>
    <row r="114" spans="1:17" ht="31.5">
      <c r="A114" s="5"/>
      <c r="B114" s="6" t="s">
        <v>102</v>
      </c>
      <c r="C114" s="136" t="s">
        <v>61</v>
      </c>
      <c r="D114" s="589">
        <v>306</v>
      </c>
      <c r="E114" s="195">
        <v>307</v>
      </c>
      <c r="F114" s="195">
        <v>308</v>
      </c>
      <c r="G114" s="264">
        <f t="shared" si="23"/>
        <v>100.3257328990228</v>
      </c>
      <c r="H114" s="923">
        <v>208524</v>
      </c>
      <c r="I114" s="923">
        <v>236020</v>
      </c>
      <c r="J114" s="923">
        <v>236020</v>
      </c>
      <c r="K114" s="32">
        <f t="shared" si="20"/>
        <v>100</v>
      </c>
    </row>
    <row r="115" spans="1:17" ht="18.75">
      <c r="A115" s="885" t="s">
        <v>147</v>
      </c>
      <c r="B115" s="594" t="s">
        <v>110</v>
      </c>
      <c r="C115" s="4"/>
      <c r="D115" s="259">
        <f>SUM(D116:D121)</f>
        <v>36096</v>
      </c>
      <c r="E115" s="259">
        <f>SUM(E116:E121)</f>
        <v>92456</v>
      </c>
      <c r="F115" s="259">
        <f>SUM(F116:F121)</f>
        <v>92456</v>
      </c>
      <c r="G115" s="361">
        <f t="shared" ref="G115:G120" si="32">F115/E115*100</f>
        <v>100</v>
      </c>
      <c r="H115" s="921">
        <f>SUM(H116:H121)</f>
        <v>37108</v>
      </c>
      <c r="I115" s="921">
        <f>SUM(I116:I121)</f>
        <v>48805</v>
      </c>
      <c r="J115" s="921">
        <f>SUM(J116:J121)</f>
        <v>48805</v>
      </c>
      <c r="K115" s="588">
        <f t="shared" ref="K115:K120" si="33">J115/I115*100</f>
        <v>100</v>
      </c>
      <c r="L115" s="822">
        <f>36928+180</f>
        <v>37108</v>
      </c>
      <c r="M115" s="822">
        <f>41210+177</f>
        <v>41387</v>
      </c>
      <c r="N115" s="822">
        <f>41205+177</f>
        <v>41382</v>
      </c>
    </row>
    <row r="116" spans="1:17">
      <c r="A116" s="111"/>
      <c r="B116" s="2" t="s">
        <v>113</v>
      </c>
      <c r="C116" s="196" t="s">
        <v>114</v>
      </c>
      <c r="D116" s="589">
        <v>96</v>
      </c>
      <c r="E116" s="640">
        <v>96</v>
      </c>
      <c r="F116" s="640">
        <v>96</v>
      </c>
      <c r="G116" s="264">
        <f t="shared" si="32"/>
        <v>100</v>
      </c>
      <c r="H116" s="923">
        <v>13752</v>
      </c>
      <c r="I116" s="923">
        <f>26758+460</f>
        <v>27218</v>
      </c>
      <c r="J116" s="923">
        <f>26758+460</f>
        <v>27218</v>
      </c>
      <c r="K116" s="32">
        <f t="shared" si="33"/>
        <v>100</v>
      </c>
      <c r="L116" s="824">
        <f>H115-H121-L115</f>
        <v>0</v>
      </c>
      <c r="M116" s="824">
        <f>I115-I121-M115</f>
        <v>-5</v>
      </c>
      <c r="N116" s="824">
        <f t="shared" ref="N116" si="34">J115-J121-N115</f>
        <v>0</v>
      </c>
    </row>
    <row r="117" spans="1:17" ht="31.5">
      <c r="A117" s="111"/>
      <c r="B117" s="2" t="s">
        <v>368</v>
      </c>
      <c r="C117" s="196" t="s">
        <v>369</v>
      </c>
      <c r="D117" s="641">
        <v>28800</v>
      </c>
      <c r="E117" s="640">
        <v>42368</v>
      </c>
      <c r="F117" s="640">
        <v>42368</v>
      </c>
      <c r="G117" s="264">
        <f t="shared" si="32"/>
        <v>100</v>
      </c>
      <c r="H117" s="923">
        <v>13934</v>
      </c>
      <c r="I117" s="923">
        <v>7813</v>
      </c>
      <c r="J117" s="923">
        <v>7813</v>
      </c>
      <c r="K117" s="32">
        <f t="shared" si="33"/>
        <v>100</v>
      </c>
      <c r="M117" s="824">
        <f>I115-I121</f>
        <v>41382</v>
      </c>
    </row>
    <row r="118" spans="1:17" ht="31.5">
      <c r="A118" s="111"/>
      <c r="B118" s="52" t="s">
        <v>370</v>
      </c>
      <c r="C118" s="437" t="s">
        <v>369</v>
      </c>
      <c r="D118" s="641">
        <v>7200</v>
      </c>
      <c r="E118" s="640">
        <v>7200</v>
      </c>
      <c r="F118" s="640">
        <v>7200</v>
      </c>
      <c r="G118" s="264">
        <f t="shared" si="32"/>
        <v>100</v>
      </c>
      <c r="H118" s="923">
        <v>9422</v>
      </c>
      <c r="I118" s="923">
        <v>1050</v>
      </c>
      <c r="J118" s="923">
        <v>1050</v>
      </c>
      <c r="K118" s="32">
        <f t="shared" si="33"/>
        <v>100</v>
      </c>
    </row>
    <row r="119" spans="1:17" ht="31.5">
      <c r="A119" s="111"/>
      <c r="B119" s="52" t="s">
        <v>371</v>
      </c>
      <c r="C119" s="437" t="s">
        <v>369</v>
      </c>
      <c r="D119" s="641">
        <v>0</v>
      </c>
      <c r="E119" s="640">
        <v>30336</v>
      </c>
      <c r="F119" s="640">
        <v>30336</v>
      </c>
      <c r="G119" s="264">
        <f t="shared" si="32"/>
        <v>100</v>
      </c>
      <c r="H119" s="923">
        <v>0</v>
      </c>
      <c r="I119" s="923">
        <v>3517</v>
      </c>
      <c r="J119" s="923">
        <v>3517</v>
      </c>
      <c r="K119" s="32">
        <f t="shared" si="33"/>
        <v>100</v>
      </c>
    </row>
    <row r="120" spans="1:17" ht="31.5">
      <c r="A120" s="111"/>
      <c r="B120" s="52" t="s">
        <v>372</v>
      </c>
      <c r="C120" s="437" t="s">
        <v>369</v>
      </c>
      <c r="D120" s="641">
        <v>0</v>
      </c>
      <c r="E120" s="640">
        <v>12288</v>
      </c>
      <c r="F120" s="640">
        <v>12288</v>
      </c>
      <c r="G120" s="264">
        <f t="shared" si="32"/>
        <v>100</v>
      </c>
      <c r="H120" s="923">
        <v>0</v>
      </c>
      <c r="I120" s="923">
        <v>1784</v>
      </c>
      <c r="J120" s="923">
        <v>1784</v>
      </c>
      <c r="K120" s="32">
        <f t="shared" si="33"/>
        <v>100</v>
      </c>
    </row>
    <row r="121" spans="1:17" ht="31.5">
      <c r="A121" s="111"/>
      <c r="B121" s="52" t="s">
        <v>374</v>
      </c>
      <c r="C121" s="196" t="s">
        <v>373</v>
      </c>
      <c r="D121" s="641">
        <v>0</v>
      </c>
      <c r="E121" s="640">
        <v>168</v>
      </c>
      <c r="F121" s="640">
        <v>168</v>
      </c>
      <c r="G121" s="264">
        <f>F121/E121*100</f>
        <v>100</v>
      </c>
      <c r="H121" s="923">
        <v>0</v>
      </c>
      <c r="I121" s="923">
        <v>7423</v>
      </c>
      <c r="J121" s="923">
        <v>7423</v>
      </c>
      <c r="K121" s="32">
        <f>J121/I121*100</f>
        <v>100</v>
      </c>
    </row>
    <row r="122" spans="1:17" ht="18.75">
      <c r="A122" s="885" t="s">
        <v>148</v>
      </c>
      <c r="B122" s="594" t="s">
        <v>375</v>
      </c>
      <c r="C122" s="4"/>
      <c r="D122" s="259">
        <f>D123+D124+D125+D126</f>
        <v>20</v>
      </c>
      <c r="E122" s="259">
        <f t="shared" ref="E122:F122" si="35">E123+E124+E125+E126</f>
        <v>49</v>
      </c>
      <c r="F122" s="259">
        <f t="shared" si="35"/>
        <v>57</v>
      </c>
      <c r="G122" s="361">
        <f t="shared" ref="G122" si="36">F122/E122*100</f>
        <v>116.32653061224489</v>
      </c>
      <c r="H122" s="921">
        <f>H123+H124+H125+H126</f>
        <v>11270.4</v>
      </c>
      <c r="I122" s="921">
        <f t="shared" ref="I122" si="37">I123+I124+I125+I126</f>
        <v>14251.4</v>
      </c>
      <c r="J122" s="921">
        <f t="shared" ref="J122" si="38">J123+J124+J125+J126</f>
        <v>14251.4</v>
      </c>
      <c r="K122" s="588">
        <f t="shared" ref="K122" si="39">J122/I122*100</f>
        <v>100</v>
      </c>
    </row>
    <row r="123" spans="1:17" ht="47.25">
      <c r="A123" s="111"/>
      <c r="B123" s="2" t="s">
        <v>168</v>
      </c>
      <c r="C123" s="136" t="s">
        <v>376</v>
      </c>
      <c r="D123" s="806">
        <v>0</v>
      </c>
      <c r="E123" s="807">
        <v>29</v>
      </c>
      <c r="F123" s="807">
        <v>37</v>
      </c>
      <c r="G123" s="544">
        <f t="shared" ref="G123:G128" si="40">F123/E123*100</f>
        <v>127.58620689655173</v>
      </c>
      <c r="H123" s="908">
        <v>0</v>
      </c>
      <c r="I123" s="907">
        <v>4275.3999999999996</v>
      </c>
      <c r="J123" s="907">
        <v>4275.3999999999996</v>
      </c>
      <c r="K123" s="544">
        <f t="shared" ref="K123:K130" si="41">J123/I123*100</f>
        <v>100</v>
      </c>
    </row>
    <row r="124" spans="1:17" ht="63">
      <c r="A124" s="111"/>
      <c r="B124" s="2" t="s">
        <v>377</v>
      </c>
      <c r="C124" s="136" t="s">
        <v>378</v>
      </c>
      <c r="D124" s="807">
        <v>5</v>
      </c>
      <c r="E124" s="807">
        <v>5</v>
      </c>
      <c r="F124" s="807">
        <v>5</v>
      </c>
      <c r="G124" s="544">
        <f t="shared" si="40"/>
        <v>100</v>
      </c>
      <c r="H124" s="929">
        <v>3735.3</v>
      </c>
      <c r="I124" s="929">
        <v>3306.3</v>
      </c>
      <c r="J124" s="929">
        <v>3306.3</v>
      </c>
      <c r="K124" s="544">
        <f t="shared" si="41"/>
        <v>100</v>
      </c>
    </row>
    <row r="125" spans="1:17" ht="78.75">
      <c r="A125" s="111"/>
      <c r="B125" s="808" t="s">
        <v>379</v>
      </c>
      <c r="C125" s="136" t="s">
        <v>378</v>
      </c>
      <c r="D125" s="807">
        <v>8</v>
      </c>
      <c r="E125" s="807">
        <v>8</v>
      </c>
      <c r="F125" s="807">
        <v>8</v>
      </c>
      <c r="G125" s="544">
        <f t="shared" si="40"/>
        <v>100</v>
      </c>
      <c r="H125" s="929">
        <v>3783.7</v>
      </c>
      <c r="I125" s="907">
        <v>3349.1</v>
      </c>
      <c r="J125" s="907">
        <v>3349.1</v>
      </c>
      <c r="K125" s="544">
        <f t="shared" si="41"/>
        <v>100</v>
      </c>
    </row>
    <row r="126" spans="1:17" ht="63">
      <c r="A126" s="111"/>
      <c r="B126" s="2" t="s">
        <v>291</v>
      </c>
      <c r="C126" s="136" t="s">
        <v>378</v>
      </c>
      <c r="D126" s="807">
        <v>7</v>
      </c>
      <c r="E126" s="807">
        <v>7</v>
      </c>
      <c r="F126" s="807">
        <v>7</v>
      </c>
      <c r="G126" s="544">
        <f t="shared" si="40"/>
        <v>100</v>
      </c>
      <c r="H126" s="929">
        <v>3751.4</v>
      </c>
      <c r="I126" s="907">
        <v>3320.6</v>
      </c>
      <c r="J126" s="907">
        <v>3320.6</v>
      </c>
      <c r="K126" s="544">
        <f t="shared" si="41"/>
        <v>100</v>
      </c>
    </row>
    <row r="127" spans="1:17" s="352" customFormat="1" ht="37.5">
      <c r="A127" s="885" t="s">
        <v>151</v>
      </c>
      <c r="B127" s="594" t="s">
        <v>390</v>
      </c>
      <c r="C127" s="891" t="s">
        <v>387</v>
      </c>
      <c r="D127" s="892"/>
      <c r="E127" s="893">
        <v>36790.129999999997</v>
      </c>
      <c r="F127" s="893">
        <v>36790.129999999997</v>
      </c>
      <c r="G127" s="894">
        <f t="shared" si="40"/>
        <v>100</v>
      </c>
      <c r="H127" s="917">
        <v>0</v>
      </c>
      <c r="I127" s="917">
        <v>3983</v>
      </c>
      <c r="J127" s="917">
        <v>3978</v>
      </c>
      <c r="K127" s="894">
        <f t="shared" si="41"/>
        <v>99.874466482550844</v>
      </c>
      <c r="L127" s="825"/>
      <c r="M127" s="825"/>
      <c r="N127" s="825"/>
      <c r="O127" s="825"/>
      <c r="P127" s="825"/>
      <c r="Q127" s="825"/>
    </row>
    <row r="128" spans="1:17" s="247" customFormat="1" ht="37.5">
      <c r="A128" s="885" t="s">
        <v>391</v>
      </c>
      <c r="B128" s="594" t="s">
        <v>344</v>
      </c>
      <c r="C128" s="895" t="s">
        <v>322</v>
      </c>
      <c r="D128" s="896">
        <v>0</v>
      </c>
      <c r="E128" s="896">
        <v>2541</v>
      </c>
      <c r="F128" s="896">
        <v>2541</v>
      </c>
      <c r="G128" s="361">
        <f t="shared" si="40"/>
        <v>100</v>
      </c>
      <c r="H128" s="930">
        <v>2858</v>
      </c>
      <c r="I128" s="930">
        <v>9058</v>
      </c>
      <c r="J128" s="930">
        <v>9058</v>
      </c>
      <c r="K128" s="890">
        <f t="shared" si="41"/>
        <v>100</v>
      </c>
      <c r="L128" s="823"/>
      <c r="M128" s="823"/>
      <c r="N128" s="823"/>
      <c r="O128" s="823"/>
      <c r="P128" s="823"/>
      <c r="Q128" s="823"/>
    </row>
    <row r="129" spans="1:17" ht="56.25">
      <c r="A129" s="897" t="s">
        <v>392</v>
      </c>
      <c r="B129" s="595" t="s">
        <v>262</v>
      </c>
      <c r="C129" s="898"/>
      <c r="D129" s="7"/>
      <c r="E129" s="112"/>
      <c r="F129" s="112"/>
      <c r="G129" s="131"/>
      <c r="H129" s="931">
        <f>3691+11721-2858+11484+2958</f>
        <v>26996</v>
      </c>
      <c r="I129" s="931">
        <f>394+323+5+8547</f>
        <v>9269</v>
      </c>
      <c r="J129" s="918">
        <v>0</v>
      </c>
      <c r="K129" s="32">
        <f t="shared" si="41"/>
        <v>0</v>
      </c>
    </row>
    <row r="130" spans="1:17" s="352" customFormat="1" ht="19.5">
      <c r="A130" s="899"/>
      <c r="B130" s="900" t="s">
        <v>143</v>
      </c>
      <c r="C130" s="901"/>
      <c r="D130" s="902">
        <f>D72+D27+D23+D7</f>
        <v>539389</v>
      </c>
      <c r="E130" s="902">
        <f>E72+E27+E23+E7</f>
        <v>759854.26</v>
      </c>
      <c r="F130" s="902">
        <f>F72+F27+F23+F7</f>
        <v>760523.26</v>
      </c>
      <c r="G130" s="903">
        <f>F130/E130*100</f>
        <v>100.08804319923139</v>
      </c>
      <c r="H130" s="932">
        <f>H72+H27+H23+H7</f>
        <v>2178573.5999999996</v>
      </c>
      <c r="I130" s="932">
        <f>I72+I27+I23+I7</f>
        <v>2269690.2000000002</v>
      </c>
      <c r="J130" s="932">
        <f>J72+J27+J23+J7</f>
        <v>2252707.2000000002</v>
      </c>
      <c r="K130" s="903">
        <f t="shared" si="41"/>
        <v>99.251748102009699</v>
      </c>
      <c r="L130" s="825"/>
      <c r="M130" s="825"/>
      <c r="N130" s="825"/>
      <c r="O130" s="825"/>
      <c r="P130" s="825"/>
      <c r="Q130" s="825"/>
    </row>
  </sheetData>
  <mergeCells count="6">
    <mergeCell ref="H4:K4"/>
    <mergeCell ref="A4:A5"/>
    <mergeCell ref="B4:B5"/>
    <mergeCell ref="C4:C5"/>
    <mergeCell ref="D4:G4"/>
    <mergeCell ref="A1:K2"/>
  </mergeCells>
  <pageMargins left="0.31496062992125984" right="0.11811023622047245" top="0.15748031496062992" bottom="0.19685039370078741" header="0.31496062992125984" footer="0.31496062992125984"/>
  <pageSetup paperSize="9" scale="55" fitToHeight="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topLeftCell="A40" zoomScale="80" zoomScaleNormal="80" workbookViewId="0">
      <selection activeCell="A53" sqref="A53"/>
    </sheetView>
  </sheetViews>
  <sheetFormatPr defaultColWidth="8" defaultRowHeight="15.75"/>
  <cols>
    <col min="1" max="1" width="7" style="75" customWidth="1"/>
    <col min="2" max="2" width="82.85546875" style="20" customWidth="1"/>
    <col min="3" max="3" width="38.42578125" style="803" customWidth="1"/>
    <col min="4" max="4" width="17" style="803" customWidth="1"/>
    <col min="5" max="5" width="16.5703125" style="20" customWidth="1"/>
    <col min="6" max="6" width="17.85546875" style="20" customWidth="1"/>
    <col min="7" max="7" width="15.140625" style="21" customWidth="1"/>
    <col min="8" max="8" width="16.42578125" style="20" customWidth="1"/>
    <col min="9" max="9" width="17.7109375" style="20" customWidth="1"/>
    <col min="10" max="10" width="16.140625" style="20" customWidth="1"/>
    <col min="11" max="11" width="15.42578125" style="20" customWidth="1"/>
    <col min="12" max="12" width="8.7109375" style="20" bestFit="1" customWidth="1"/>
    <col min="13" max="16384" width="8" style="20"/>
  </cols>
  <sheetData>
    <row r="1" spans="1:11" s="19" customFormat="1">
      <c r="A1" s="830" t="s">
        <v>352</v>
      </c>
      <c r="B1" s="830"/>
      <c r="C1" s="830"/>
      <c r="D1" s="830"/>
      <c r="E1" s="830"/>
      <c r="F1" s="830"/>
      <c r="G1" s="830"/>
    </row>
    <row r="2" spans="1:11" s="19" customFormat="1">
      <c r="A2" s="830"/>
      <c r="B2" s="830"/>
      <c r="C2" s="830"/>
      <c r="D2" s="830"/>
      <c r="E2" s="830"/>
      <c r="F2" s="830"/>
      <c r="G2" s="830"/>
    </row>
    <row r="3" spans="1:11" s="19" customFormat="1">
      <c r="A3" s="739"/>
      <c r="B3" s="739"/>
      <c r="C3" s="739"/>
      <c r="D3" s="739"/>
      <c r="E3" s="739"/>
      <c r="F3" s="739"/>
      <c r="G3" s="739"/>
    </row>
    <row r="4" spans="1:11">
      <c r="A4" s="831" t="s">
        <v>0</v>
      </c>
      <c r="B4" s="832" t="s">
        <v>1</v>
      </c>
      <c r="C4" s="832" t="s">
        <v>2</v>
      </c>
      <c r="D4" s="833" t="s">
        <v>244</v>
      </c>
      <c r="E4" s="834"/>
      <c r="F4" s="834"/>
      <c r="G4" s="835"/>
      <c r="H4" s="829" t="s">
        <v>245</v>
      </c>
      <c r="I4" s="829"/>
      <c r="J4" s="829"/>
      <c r="K4" s="829"/>
    </row>
    <row r="5" spans="1:11" ht="78.75">
      <c r="A5" s="831"/>
      <c r="B5" s="832"/>
      <c r="C5" s="832"/>
      <c r="D5" s="613" t="s">
        <v>349</v>
      </c>
      <c r="E5" s="23" t="s">
        <v>353</v>
      </c>
      <c r="F5" s="24" t="s">
        <v>354</v>
      </c>
      <c r="G5" s="25" t="s">
        <v>33</v>
      </c>
      <c r="H5" s="740" t="s">
        <v>349</v>
      </c>
      <c r="I5" s="740" t="s">
        <v>247</v>
      </c>
      <c r="J5" s="614" t="s">
        <v>350</v>
      </c>
      <c r="K5" s="741" t="s">
        <v>249</v>
      </c>
    </row>
    <row r="6" spans="1:11">
      <c r="A6" s="71">
        <v>1</v>
      </c>
      <c r="B6" s="27">
        <v>2</v>
      </c>
      <c r="C6" s="27">
        <v>3</v>
      </c>
      <c r="D6" s="28">
        <v>4</v>
      </c>
      <c r="E6" s="28">
        <v>5</v>
      </c>
      <c r="F6" s="28">
        <v>6</v>
      </c>
      <c r="G6" s="28">
        <v>7</v>
      </c>
      <c r="H6" s="241">
        <v>8</v>
      </c>
      <c r="I6" s="240">
        <v>9</v>
      </c>
      <c r="J6" s="240">
        <v>10</v>
      </c>
      <c r="K6" s="240">
        <v>11</v>
      </c>
    </row>
    <row r="7" spans="1:11">
      <c r="A7" s="746" t="s">
        <v>250</v>
      </c>
      <c r="B7" s="747" t="s">
        <v>355</v>
      </c>
      <c r="C7" s="748"/>
      <c r="D7" s="749">
        <f>D8+D17</f>
        <v>224040</v>
      </c>
      <c r="E7" s="749">
        <f>E8+E17</f>
        <v>219997</v>
      </c>
      <c r="F7" s="749">
        <f>F8+F17</f>
        <v>255623</v>
      </c>
      <c r="G7" s="750">
        <f t="shared" ref="G7:G22" si="0">F7/E7*100</f>
        <v>116.19385718896167</v>
      </c>
      <c r="H7" s="751">
        <f>H8+H17</f>
        <v>257207</v>
      </c>
      <c r="I7" s="751">
        <f>I8+I17</f>
        <v>259801</v>
      </c>
      <c r="J7" s="751">
        <f>J8+J17</f>
        <v>258694</v>
      </c>
      <c r="K7" s="750">
        <f t="shared" ref="K7:K21" si="1">J7/I7*100</f>
        <v>99.573904642399384</v>
      </c>
    </row>
    <row r="8" spans="1:11" s="11" customFormat="1">
      <c r="A8" s="752" t="s">
        <v>26</v>
      </c>
      <c r="B8" s="753" t="s">
        <v>152</v>
      </c>
      <c r="C8" s="754"/>
      <c r="D8" s="755">
        <f>D9+D121</f>
        <v>184432</v>
      </c>
      <c r="E8" s="755">
        <f>E9+E121</f>
        <v>180389</v>
      </c>
      <c r="F8" s="755">
        <f>F9+F121</f>
        <v>180389</v>
      </c>
      <c r="G8" s="756">
        <f t="shared" si="0"/>
        <v>100</v>
      </c>
      <c r="H8" s="757">
        <f>H9</f>
        <v>77814</v>
      </c>
      <c r="I8" s="757">
        <f t="shared" ref="I8:J8" si="2">I9</f>
        <v>80612</v>
      </c>
      <c r="J8" s="757">
        <f t="shared" si="2"/>
        <v>79505</v>
      </c>
      <c r="K8" s="756">
        <f t="shared" si="1"/>
        <v>98.626755321788323</v>
      </c>
    </row>
    <row r="9" spans="1:11" ht="31.5">
      <c r="A9" s="1"/>
      <c r="B9" s="2" t="s">
        <v>153</v>
      </c>
      <c r="C9" s="131" t="s">
        <v>5</v>
      </c>
      <c r="D9" s="4">
        <f>SUM(D10:D15)</f>
        <v>184432</v>
      </c>
      <c r="E9" s="4">
        <f>SUM(E10:E15)</f>
        <v>180389</v>
      </c>
      <c r="F9" s="4">
        <f t="shared" ref="F9" si="3">SUM(F10:F15)</f>
        <v>180389</v>
      </c>
      <c r="G9" s="9">
        <f t="shared" si="0"/>
        <v>100</v>
      </c>
      <c r="H9" s="758">
        <f>SUM(H10:H16)</f>
        <v>77814</v>
      </c>
      <c r="I9" s="758">
        <f t="shared" ref="I9:J9" si="4">SUM(I10:I16)</f>
        <v>80612</v>
      </c>
      <c r="J9" s="758">
        <f t="shared" si="4"/>
        <v>79505</v>
      </c>
      <c r="K9" s="9">
        <f t="shared" si="1"/>
        <v>98.626755321788323</v>
      </c>
    </row>
    <row r="10" spans="1:11">
      <c r="A10" s="5"/>
      <c r="B10" s="6" t="s">
        <v>154</v>
      </c>
      <c r="C10" s="131" t="s">
        <v>5</v>
      </c>
      <c r="D10" s="131">
        <v>25479</v>
      </c>
      <c r="E10" s="7">
        <v>24572</v>
      </c>
      <c r="F10" s="7">
        <v>24572</v>
      </c>
      <c r="G10" s="10">
        <f t="shared" si="0"/>
        <v>100</v>
      </c>
      <c r="H10" s="758">
        <v>17400</v>
      </c>
      <c r="I10" s="758">
        <v>17540</v>
      </c>
      <c r="J10" s="759">
        <v>17540</v>
      </c>
      <c r="K10" s="9">
        <f t="shared" si="1"/>
        <v>100</v>
      </c>
    </row>
    <row r="11" spans="1:11">
      <c r="A11" s="5"/>
      <c r="B11" s="6" t="s">
        <v>155</v>
      </c>
      <c r="C11" s="131" t="s">
        <v>5</v>
      </c>
      <c r="D11" s="131">
        <v>20772</v>
      </c>
      <c r="E11" s="7">
        <v>20150</v>
      </c>
      <c r="F11" s="7">
        <v>20150</v>
      </c>
      <c r="G11" s="10">
        <f t="shared" si="0"/>
        <v>100</v>
      </c>
      <c r="H11" s="758">
        <v>13681</v>
      </c>
      <c r="I11" s="758">
        <v>15678</v>
      </c>
      <c r="J11" s="759">
        <v>15679</v>
      </c>
      <c r="K11" s="10">
        <f t="shared" si="1"/>
        <v>100.00637836458732</v>
      </c>
    </row>
    <row r="12" spans="1:11">
      <c r="A12" s="5"/>
      <c r="B12" s="6" t="s">
        <v>156</v>
      </c>
      <c r="C12" s="131" t="s">
        <v>5</v>
      </c>
      <c r="D12" s="131">
        <v>12097</v>
      </c>
      <c r="E12" s="7">
        <v>11422</v>
      </c>
      <c r="F12" s="7">
        <v>11422</v>
      </c>
      <c r="G12" s="10">
        <f t="shared" si="0"/>
        <v>100</v>
      </c>
      <c r="H12" s="758">
        <v>11883</v>
      </c>
      <c r="I12" s="758">
        <v>11900</v>
      </c>
      <c r="J12" s="759">
        <v>11900</v>
      </c>
      <c r="K12" s="10">
        <f t="shared" si="1"/>
        <v>100</v>
      </c>
    </row>
    <row r="13" spans="1:11">
      <c r="A13" s="5"/>
      <c r="B13" s="6" t="s">
        <v>157</v>
      </c>
      <c r="C13" s="131" t="s">
        <v>5</v>
      </c>
      <c r="D13" s="131">
        <v>51693</v>
      </c>
      <c r="E13" s="7">
        <v>49953</v>
      </c>
      <c r="F13" s="7">
        <v>49953</v>
      </c>
      <c r="G13" s="10">
        <f t="shared" si="0"/>
        <v>100</v>
      </c>
      <c r="H13" s="758">
        <v>16557</v>
      </c>
      <c r="I13" s="758">
        <v>15842</v>
      </c>
      <c r="J13" s="759">
        <v>15842</v>
      </c>
      <c r="K13" s="10">
        <f t="shared" si="1"/>
        <v>100</v>
      </c>
    </row>
    <row r="14" spans="1:11">
      <c r="A14" s="5"/>
      <c r="B14" s="6" t="s">
        <v>158</v>
      </c>
      <c r="C14" s="131" t="s">
        <v>5</v>
      </c>
      <c r="D14" s="131">
        <v>6028</v>
      </c>
      <c r="E14" s="7">
        <v>5850</v>
      </c>
      <c r="F14" s="7">
        <v>5850</v>
      </c>
      <c r="G14" s="10">
        <f t="shared" si="0"/>
        <v>100</v>
      </c>
      <c r="H14" s="758">
        <v>6615</v>
      </c>
      <c r="I14" s="758">
        <v>7069</v>
      </c>
      <c r="J14" s="759">
        <v>7069</v>
      </c>
      <c r="K14" s="10">
        <f t="shared" si="1"/>
        <v>100</v>
      </c>
    </row>
    <row r="15" spans="1:11">
      <c r="A15" s="5"/>
      <c r="B15" s="6" t="s">
        <v>159</v>
      </c>
      <c r="C15" s="131" t="s">
        <v>5</v>
      </c>
      <c r="D15" s="131">
        <v>68363</v>
      </c>
      <c r="E15" s="7">
        <v>68442</v>
      </c>
      <c r="F15" s="7">
        <v>68442</v>
      </c>
      <c r="G15" s="116">
        <f t="shared" si="0"/>
        <v>100</v>
      </c>
      <c r="H15" s="758">
        <v>10075</v>
      </c>
      <c r="I15" s="758">
        <v>11475</v>
      </c>
      <c r="J15" s="759">
        <v>11475</v>
      </c>
      <c r="K15" s="116">
        <f t="shared" si="1"/>
        <v>100</v>
      </c>
    </row>
    <row r="16" spans="1:11" s="11" customFormat="1" ht="25.5">
      <c r="A16" s="760"/>
      <c r="B16" s="761" t="s">
        <v>262</v>
      </c>
      <c r="C16" s="131"/>
      <c r="D16" s="131"/>
      <c r="E16" s="7"/>
      <c r="F16" s="7"/>
      <c r="G16" s="116"/>
      <c r="H16" s="758">
        <v>1603</v>
      </c>
      <c r="I16" s="758">
        <v>1108</v>
      </c>
      <c r="J16" s="759"/>
      <c r="K16" s="116"/>
    </row>
    <row r="17" spans="1:11" s="11" customFormat="1">
      <c r="A17" s="762" t="s">
        <v>27</v>
      </c>
      <c r="B17" s="763" t="s">
        <v>160</v>
      </c>
      <c r="C17" s="764"/>
      <c r="D17" s="765">
        <f>D18+D19+D20+D21+D22+D23</f>
        <v>39608</v>
      </c>
      <c r="E17" s="765">
        <f t="shared" ref="E17:F17" si="5">E18+E19+E20+E21+E22+E23</f>
        <v>39608</v>
      </c>
      <c r="F17" s="765">
        <f t="shared" si="5"/>
        <v>75234</v>
      </c>
      <c r="G17" s="756">
        <f t="shared" si="0"/>
        <v>189.94647545950315</v>
      </c>
      <c r="H17" s="757">
        <f>H18+H19+H20+H21+H22+H23</f>
        <v>179393</v>
      </c>
      <c r="I17" s="757">
        <f t="shared" ref="I17:J17" si="6">I18+I19+I20+I21+I22+I23</f>
        <v>179189</v>
      </c>
      <c r="J17" s="757">
        <f t="shared" si="6"/>
        <v>179189</v>
      </c>
      <c r="K17" s="756">
        <f t="shared" si="1"/>
        <v>100</v>
      </c>
    </row>
    <row r="18" spans="1:11" s="11" customFormat="1">
      <c r="A18" s="79"/>
      <c r="B18" s="80" t="s">
        <v>161</v>
      </c>
      <c r="C18" s="766" t="s">
        <v>162</v>
      </c>
      <c r="D18" s="766" t="s">
        <v>356</v>
      </c>
      <c r="E18" s="118">
        <v>40</v>
      </c>
      <c r="F18" s="118">
        <v>43</v>
      </c>
      <c r="G18" s="81">
        <f t="shared" si="0"/>
        <v>107.5</v>
      </c>
      <c r="H18" s="767">
        <v>10733</v>
      </c>
      <c r="I18" s="767">
        <v>13146</v>
      </c>
      <c r="J18" s="767">
        <v>13146</v>
      </c>
      <c r="K18" s="81">
        <f t="shared" si="1"/>
        <v>100</v>
      </c>
    </row>
    <row r="19" spans="1:11" s="11" customFormat="1" ht="31.5">
      <c r="A19" s="82"/>
      <c r="B19" s="83" t="s">
        <v>164</v>
      </c>
      <c r="C19" s="766" t="s">
        <v>165</v>
      </c>
      <c r="D19" s="766" t="s">
        <v>357</v>
      </c>
      <c r="E19" s="118">
        <v>39500</v>
      </c>
      <c r="F19" s="118">
        <v>75087</v>
      </c>
      <c r="G19" s="81">
        <f t="shared" si="0"/>
        <v>190.09367088607593</v>
      </c>
      <c r="H19" s="767">
        <v>48506</v>
      </c>
      <c r="I19" s="767">
        <v>49518</v>
      </c>
      <c r="J19" s="767">
        <v>49518</v>
      </c>
      <c r="K19" s="81">
        <f t="shared" si="1"/>
        <v>100</v>
      </c>
    </row>
    <row r="20" spans="1:11" s="11" customFormat="1" ht="31.5">
      <c r="A20" s="79"/>
      <c r="B20" s="84" t="s">
        <v>166</v>
      </c>
      <c r="C20" s="766" t="s">
        <v>167</v>
      </c>
      <c r="D20" s="766" t="s">
        <v>358</v>
      </c>
      <c r="E20" s="118">
        <v>23</v>
      </c>
      <c r="F20" s="120">
        <v>25</v>
      </c>
      <c r="G20" s="81">
        <f t="shared" si="0"/>
        <v>108.69565217391303</v>
      </c>
      <c r="H20" s="767">
        <v>105024</v>
      </c>
      <c r="I20" s="767">
        <v>111549</v>
      </c>
      <c r="J20" s="767">
        <v>111549</v>
      </c>
      <c r="K20" s="81">
        <f t="shared" si="1"/>
        <v>100</v>
      </c>
    </row>
    <row r="21" spans="1:11" s="11" customFormat="1" ht="47.25">
      <c r="A21" s="79"/>
      <c r="B21" s="84" t="s">
        <v>168</v>
      </c>
      <c r="C21" s="766" t="s">
        <v>185</v>
      </c>
      <c r="D21" s="766" t="s">
        <v>183</v>
      </c>
      <c r="E21" s="118">
        <v>20</v>
      </c>
      <c r="F21" s="118">
        <v>34</v>
      </c>
      <c r="G21" s="81">
        <f t="shared" si="0"/>
        <v>170</v>
      </c>
      <c r="H21" s="848">
        <v>4567</v>
      </c>
      <c r="I21" s="848">
        <v>4976</v>
      </c>
      <c r="J21" s="848">
        <v>4976</v>
      </c>
      <c r="K21" s="850">
        <f t="shared" si="1"/>
        <v>100</v>
      </c>
    </row>
    <row r="22" spans="1:11" s="11" customFormat="1" ht="47.25">
      <c r="A22" s="79"/>
      <c r="B22" s="84" t="s">
        <v>168</v>
      </c>
      <c r="C22" s="766" t="s">
        <v>186</v>
      </c>
      <c r="D22" s="766" t="s">
        <v>359</v>
      </c>
      <c r="E22" s="118">
        <v>25</v>
      </c>
      <c r="F22" s="118">
        <v>45</v>
      </c>
      <c r="G22" s="81">
        <f t="shared" si="0"/>
        <v>180</v>
      </c>
      <c r="H22" s="849"/>
      <c r="I22" s="849"/>
      <c r="J22" s="849"/>
      <c r="K22" s="851"/>
    </row>
    <row r="23" spans="1:11" s="11" customFormat="1" ht="25.5">
      <c r="A23" s="79"/>
      <c r="B23" s="761" t="s">
        <v>262</v>
      </c>
      <c r="C23" s="766"/>
      <c r="D23" s="766"/>
      <c r="E23" s="118"/>
      <c r="F23" s="118"/>
      <c r="G23" s="81"/>
      <c r="H23" s="767">
        <v>10563</v>
      </c>
      <c r="I23" s="767"/>
      <c r="J23" s="767"/>
      <c r="K23" s="81"/>
    </row>
    <row r="24" spans="1:11" s="771" customFormat="1" ht="31.5">
      <c r="A24" s="768" t="s">
        <v>95</v>
      </c>
      <c r="B24" s="747" t="s">
        <v>265</v>
      </c>
      <c r="C24" s="769"/>
      <c r="D24" s="770">
        <f>D25</f>
        <v>257550</v>
      </c>
      <c r="E24" s="770">
        <f>E25</f>
        <v>257550</v>
      </c>
      <c r="F24" s="770">
        <f>F25</f>
        <v>257550</v>
      </c>
      <c r="G24" s="770">
        <f t="shared" ref="G24" si="7">F24/E24*100</f>
        <v>100</v>
      </c>
      <c r="H24" s="770">
        <f>H25</f>
        <v>12095</v>
      </c>
      <c r="I24" s="770">
        <f>I25</f>
        <v>11729</v>
      </c>
      <c r="J24" s="770">
        <f>J25</f>
        <v>11729</v>
      </c>
      <c r="K24" s="770">
        <f t="shared" ref="K24" si="8">J24/I24*100</f>
        <v>100</v>
      </c>
    </row>
    <row r="25" spans="1:11" s="11" customFormat="1">
      <c r="A25" s="772"/>
      <c r="B25" s="773" t="s">
        <v>169</v>
      </c>
      <c r="C25" s="764"/>
      <c r="D25" s="774">
        <f>D26+D27</f>
        <v>257550</v>
      </c>
      <c r="E25" s="774">
        <f t="shared" ref="E25:F25" si="9">E26+E27</f>
        <v>257550</v>
      </c>
      <c r="F25" s="774">
        <f t="shared" si="9"/>
        <v>257550</v>
      </c>
      <c r="G25" s="774">
        <f>F25/E25*100</f>
        <v>100</v>
      </c>
      <c r="H25" s="774">
        <f>H26+H27</f>
        <v>12095</v>
      </c>
      <c r="I25" s="774">
        <f t="shared" ref="I25:J25" si="10">I26+I27</f>
        <v>11729</v>
      </c>
      <c r="J25" s="774">
        <f t="shared" si="10"/>
        <v>11729</v>
      </c>
      <c r="K25" s="774">
        <f>J25/I25*100</f>
        <v>100</v>
      </c>
    </row>
    <row r="26" spans="1:11" s="11" customFormat="1">
      <c r="A26" s="79"/>
      <c r="B26" s="85" t="s">
        <v>170</v>
      </c>
      <c r="C26" s="766" t="s">
        <v>360</v>
      </c>
      <c r="D26" s="775">
        <v>257550</v>
      </c>
      <c r="E26" s="775">
        <v>257550</v>
      </c>
      <c r="F26" s="775">
        <v>257550</v>
      </c>
      <c r="G26" s="775">
        <f>F26/E26*100</f>
        <v>100</v>
      </c>
      <c r="H26" s="776">
        <v>11675</v>
      </c>
      <c r="I26" s="776">
        <v>11729</v>
      </c>
      <c r="J26" s="776">
        <v>11729</v>
      </c>
      <c r="K26" s="775">
        <f>J26/I26*100</f>
        <v>100</v>
      </c>
    </row>
    <row r="27" spans="1:11" s="11" customFormat="1" ht="25.5">
      <c r="A27" s="79"/>
      <c r="B27" s="761" t="s">
        <v>262</v>
      </c>
      <c r="C27" s="766"/>
      <c r="D27" s="775"/>
      <c r="E27" s="775"/>
      <c r="F27" s="775"/>
      <c r="G27" s="775"/>
      <c r="H27" s="776">
        <v>420</v>
      </c>
      <c r="I27" s="776"/>
      <c r="J27" s="776"/>
      <c r="K27" s="775"/>
    </row>
    <row r="28" spans="1:11" s="11" customFormat="1" ht="48">
      <c r="A28" s="768" t="s">
        <v>264</v>
      </c>
      <c r="B28" s="777" t="s">
        <v>361</v>
      </c>
      <c r="C28" s="458"/>
      <c r="D28" s="329">
        <f>D29</f>
        <v>1448</v>
      </c>
      <c r="E28" s="329">
        <f>E29</f>
        <v>1473</v>
      </c>
      <c r="F28" s="329">
        <f>F29</f>
        <v>1780</v>
      </c>
      <c r="G28" s="329">
        <f t="shared" ref="G28:G50" si="11">F28/E28*100</f>
        <v>120.84181941615751</v>
      </c>
      <c r="H28" s="329">
        <f t="shared" ref="H28:J28" si="12">H29</f>
        <v>160336</v>
      </c>
      <c r="I28" s="329">
        <f t="shared" si="12"/>
        <v>170176</v>
      </c>
      <c r="J28" s="329">
        <f t="shared" si="12"/>
        <v>170176</v>
      </c>
      <c r="K28" s="329">
        <f t="shared" ref="K28:K50" si="13">J28/I28*100</f>
        <v>100</v>
      </c>
    </row>
    <row r="29" spans="1:11" s="19" customFormat="1" ht="18.75">
      <c r="A29" s="772"/>
      <c r="B29" s="778" t="s">
        <v>39</v>
      </c>
      <c r="C29" s="779"/>
      <c r="D29" s="774">
        <f>D30+D39+D46+D47+D48+D49+D50+D51</f>
        <v>1448</v>
      </c>
      <c r="E29" s="774">
        <f>E30+E39+E46+E47+E48+E49+E50+E51</f>
        <v>1473</v>
      </c>
      <c r="F29" s="774">
        <f>F30+F39+F46+F47+F48+F49+F50+F51</f>
        <v>1780</v>
      </c>
      <c r="G29" s="774">
        <f t="shared" si="11"/>
        <v>120.84181941615751</v>
      </c>
      <c r="H29" s="774">
        <f>H30+H39+H46+H47+H48+H49+H50+H51</f>
        <v>160336</v>
      </c>
      <c r="I29" s="774">
        <f>I30+I39+I46+I47+I48+I49+I50+I51</f>
        <v>170176</v>
      </c>
      <c r="J29" s="774">
        <f>J30+J39+J46+J47+J48+J49+J50+J51</f>
        <v>170176</v>
      </c>
      <c r="K29" s="774">
        <f t="shared" si="13"/>
        <v>100</v>
      </c>
    </row>
    <row r="30" spans="1:11" ht="22.5">
      <c r="A30" s="1"/>
      <c r="B30" s="444" t="s">
        <v>42</v>
      </c>
      <c r="C30" s="780" t="s">
        <v>321</v>
      </c>
      <c r="D30" s="775">
        <f>SUM(D31:D38)</f>
        <v>754</v>
      </c>
      <c r="E30" s="775">
        <f>SUM(E31:E38)</f>
        <v>761</v>
      </c>
      <c r="F30" s="775">
        <f>SUM(F31:F38)</f>
        <v>998</v>
      </c>
      <c r="G30" s="781">
        <f t="shared" si="11"/>
        <v>131.14323258869908</v>
      </c>
      <c r="H30" s="775">
        <f>SUM(H31:H38)</f>
        <v>107195</v>
      </c>
      <c r="I30" s="775">
        <f>SUM(I31:I38)</f>
        <v>111512</v>
      </c>
      <c r="J30" s="775">
        <f>SUM(J31:J38)</f>
        <v>111512</v>
      </c>
      <c r="K30" s="781">
        <f t="shared" si="13"/>
        <v>100</v>
      </c>
    </row>
    <row r="31" spans="1:11" ht="22.5">
      <c r="A31" s="5"/>
      <c r="B31" s="446" t="s">
        <v>43</v>
      </c>
      <c r="C31" s="780" t="s">
        <v>321</v>
      </c>
      <c r="D31" s="782">
        <v>185</v>
      </c>
      <c r="E31" s="783">
        <v>185</v>
      </c>
      <c r="F31" s="783">
        <v>270</v>
      </c>
      <c r="G31" s="784">
        <f t="shared" si="11"/>
        <v>145.94594594594594</v>
      </c>
      <c r="H31" s="784">
        <v>29621</v>
      </c>
      <c r="I31" s="784">
        <v>31383</v>
      </c>
      <c r="J31" s="784">
        <v>31383</v>
      </c>
      <c r="K31" s="784">
        <f t="shared" si="13"/>
        <v>100</v>
      </c>
    </row>
    <row r="32" spans="1:11" ht="22.5">
      <c r="A32" s="5"/>
      <c r="B32" s="446" t="s">
        <v>45</v>
      </c>
      <c r="C32" s="780" t="s">
        <v>321</v>
      </c>
      <c r="D32" s="782">
        <v>215</v>
      </c>
      <c r="E32" s="783">
        <v>222</v>
      </c>
      <c r="F32" s="783">
        <v>250</v>
      </c>
      <c r="G32" s="784">
        <f t="shared" si="11"/>
        <v>112.61261261261262</v>
      </c>
      <c r="H32" s="784">
        <v>22197</v>
      </c>
      <c r="I32" s="784">
        <v>23485</v>
      </c>
      <c r="J32" s="784">
        <v>23485</v>
      </c>
      <c r="K32" s="784">
        <f t="shared" si="13"/>
        <v>100</v>
      </c>
    </row>
    <row r="33" spans="1:11" ht="22.5">
      <c r="A33" s="5"/>
      <c r="B33" s="446" t="s">
        <v>46</v>
      </c>
      <c r="C33" s="780" t="s">
        <v>321</v>
      </c>
      <c r="D33" s="782">
        <v>90</v>
      </c>
      <c r="E33" s="783">
        <v>90</v>
      </c>
      <c r="F33" s="783">
        <v>137</v>
      </c>
      <c r="G33" s="784">
        <f t="shared" si="11"/>
        <v>152.22222222222223</v>
      </c>
      <c r="H33" s="784">
        <v>10255</v>
      </c>
      <c r="I33" s="784">
        <v>10868</v>
      </c>
      <c r="J33" s="784">
        <v>10868</v>
      </c>
      <c r="K33" s="784">
        <f t="shared" si="13"/>
        <v>100</v>
      </c>
    </row>
    <row r="34" spans="1:11" ht="22.5">
      <c r="A34" s="5"/>
      <c r="B34" s="446" t="s">
        <v>48</v>
      </c>
      <c r="C34" s="780" t="s">
        <v>321</v>
      </c>
      <c r="D34" s="782">
        <v>90</v>
      </c>
      <c r="E34" s="783">
        <v>90</v>
      </c>
      <c r="F34" s="783">
        <v>91</v>
      </c>
      <c r="G34" s="784">
        <f t="shared" si="11"/>
        <v>101.11111111111111</v>
      </c>
      <c r="H34" s="784">
        <v>14158</v>
      </c>
      <c r="I34" s="784">
        <v>15001</v>
      </c>
      <c r="J34" s="784">
        <v>15001</v>
      </c>
      <c r="K34" s="784">
        <f t="shared" si="13"/>
        <v>100</v>
      </c>
    </row>
    <row r="35" spans="1:11" ht="22.5">
      <c r="A35" s="5"/>
      <c r="B35" s="446" t="s">
        <v>49</v>
      </c>
      <c r="C35" s="780" t="s">
        <v>321</v>
      </c>
      <c r="D35" s="782">
        <v>45</v>
      </c>
      <c r="E35" s="783">
        <v>45</v>
      </c>
      <c r="F35" s="783">
        <v>62</v>
      </c>
      <c r="G35" s="784">
        <f t="shared" si="11"/>
        <v>137.77777777777777</v>
      </c>
      <c r="H35" s="784">
        <v>7782</v>
      </c>
      <c r="I35" s="784">
        <v>8242</v>
      </c>
      <c r="J35" s="784">
        <v>8242</v>
      </c>
      <c r="K35" s="784">
        <f t="shared" si="13"/>
        <v>100</v>
      </c>
    </row>
    <row r="36" spans="1:11" ht="22.5">
      <c r="A36" s="5"/>
      <c r="B36" s="446" t="s">
        <v>50</v>
      </c>
      <c r="C36" s="780" t="s">
        <v>321</v>
      </c>
      <c r="D36" s="782">
        <v>95</v>
      </c>
      <c r="E36" s="783">
        <v>95</v>
      </c>
      <c r="F36" s="783">
        <v>141</v>
      </c>
      <c r="G36" s="784">
        <f t="shared" si="11"/>
        <v>148.42105263157893</v>
      </c>
      <c r="H36" s="784">
        <v>12978</v>
      </c>
      <c r="I36" s="784">
        <v>12392</v>
      </c>
      <c r="J36" s="784">
        <v>12392</v>
      </c>
      <c r="K36" s="784">
        <f t="shared" si="13"/>
        <v>100</v>
      </c>
    </row>
    <row r="37" spans="1:11" ht="22.5">
      <c r="A37" s="5"/>
      <c r="B37" s="446" t="s">
        <v>51</v>
      </c>
      <c r="C37" s="780" t="s">
        <v>321</v>
      </c>
      <c r="D37" s="782">
        <v>24</v>
      </c>
      <c r="E37" s="783">
        <v>24</v>
      </c>
      <c r="F37" s="783">
        <v>32</v>
      </c>
      <c r="G37" s="784">
        <f t="shared" si="11"/>
        <v>133.33333333333331</v>
      </c>
      <c r="H37" s="784">
        <v>5102</v>
      </c>
      <c r="I37" s="784">
        <v>4732</v>
      </c>
      <c r="J37" s="784">
        <v>4732</v>
      </c>
      <c r="K37" s="784">
        <f t="shared" si="13"/>
        <v>100</v>
      </c>
    </row>
    <row r="38" spans="1:11" ht="22.5">
      <c r="A38" s="5"/>
      <c r="B38" s="446" t="s">
        <v>190</v>
      </c>
      <c r="C38" s="780" t="s">
        <v>321</v>
      </c>
      <c r="D38" s="782">
        <v>10</v>
      </c>
      <c r="E38" s="783">
        <v>10</v>
      </c>
      <c r="F38" s="783">
        <v>15</v>
      </c>
      <c r="G38" s="784">
        <f t="shared" si="11"/>
        <v>150</v>
      </c>
      <c r="H38" s="784">
        <v>5102</v>
      </c>
      <c r="I38" s="784">
        <v>5409</v>
      </c>
      <c r="J38" s="784">
        <v>5409</v>
      </c>
      <c r="K38" s="784">
        <f t="shared" si="13"/>
        <v>100</v>
      </c>
    </row>
    <row r="39" spans="1:11" ht="22.5">
      <c r="A39" s="1"/>
      <c r="B39" s="444" t="s">
        <v>52</v>
      </c>
      <c r="C39" s="780" t="s">
        <v>321</v>
      </c>
      <c r="D39" s="775">
        <f>SUM(D40:D45)</f>
        <v>253</v>
      </c>
      <c r="E39" s="775">
        <f>SUM(E40:E45)</f>
        <v>271</v>
      </c>
      <c r="F39" s="775">
        <f>SUM(F40:F45)</f>
        <v>315</v>
      </c>
      <c r="G39" s="781">
        <f t="shared" si="11"/>
        <v>116.23616236162361</v>
      </c>
      <c r="H39" s="775">
        <f>SUM(H40:H45)</f>
        <v>41214</v>
      </c>
      <c r="I39" s="775">
        <f>SUM(I40:I45)</f>
        <v>45699</v>
      </c>
      <c r="J39" s="775">
        <f>SUM(J40:J45)</f>
        <v>45699</v>
      </c>
      <c r="K39" s="781">
        <f t="shared" si="13"/>
        <v>100</v>
      </c>
    </row>
    <row r="40" spans="1:11" ht="22.5">
      <c r="A40" s="5"/>
      <c r="B40" s="446" t="s">
        <v>53</v>
      </c>
      <c r="C40" s="780" t="s">
        <v>321</v>
      </c>
      <c r="D40" s="782">
        <v>159</v>
      </c>
      <c r="E40" s="783">
        <v>159</v>
      </c>
      <c r="F40" s="783">
        <v>189</v>
      </c>
      <c r="G40" s="784">
        <f t="shared" si="11"/>
        <v>118.86792452830188</v>
      </c>
      <c r="H40" s="784">
        <v>19299</v>
      </c>
      <c r="I40" s="784">
        <v>20449</v>
      </c>
      <c r="J40" s="784">
        <v>20449</v>
      </c>
      <c r="K40" s="784">
        <f t="shared" si="13"/>
        <v>100</v>
      </c>
    </row>
    <row r="41" spans="1:11" ht="22.5">
      <c r="A41" s="5"/>
      <c r="B41" s="446" t="s">
        <v>54</v>
      </c>
      <c r="C41" s="780" t="s">
        <v>321</v>
      </c>
      <c r="D41" s="782">
        <v>30</v>
      </c>
      <c r="E41" s="783">
        <v>30</v>
      </c>
      <c r="F41" s="783">
        <v>34</v>
      </c>
      <c r="G41" s="784">
        <f t="shared" si="11"/>
        <v>113.33333333333333</v>
      </c>
      <c r="H41" s="784">
        <v>5497</v>
      </c>
      <c r="I41" s="784">
        <v>5820</v>
      </c>
      <c r="J41" s="784">
        <v>5820</v>
      </c>
      <c r="K41" s="784">
        <f t="shared" si="13"/>
        <v>100</v>
      </c>
    </row>
    <row r="42" spans="1:11" ht="22.5">
      <c r="A42" s="5"/>
      <c r="B42" s="446" t="s">
        <v>55</v>
      </c>
      <c r="C42" s="780" t="s">
        <v>321</v>
      </c>
      <c r="D42" s="782">
        <v>36</v>
      </c>
      <c r="E42" s="783">
        <v>36</v>
      </c>
      <c r="F42" s="783">
        <v>40</v>
      </c>
      <c r="G42" s="784">
        <f t="shared" si="11"/>
        <v>111.11111111111111</v>
      </c>
      <c r="H42" s="784">
        <v>6214</v>
      </c>
      <c r="I42" s="784">
        <v>6584</v>
      </c>
      <c r="J42" s="784">
        <v>6584</v>
      </c>
      <c r="K42" s="784">
        <f t="shared" si="13"/>
        <v>100</v>
      </c>
    </row>
    <row r="43" spans="1:11" ht="22.5">
      <c r="A43" s="5"/>
      <c r="B43" s="446" t="s">
        <v>56</v>
      </c>
      <c r="C43" s="780" t="s">
        <v>321</v>
      </c>
      <c r="D43" s="782">
        <v>24</v>
      </c>
      <c r="E43" s="783">
        <v>12</v>
      </c>
      <c r="F43" s="783">
        <v>13</v>
      </c>
      <c r="G43" s="784">
        <f t="shared" si="11"/>
        <v>108.33333333333333</v>
      </c>
      <c r="H43" s="784">
        <v>5102</v>
      </c>
      <c r="I43" s="784">
        <v>5409</v>
      </c>
      <c r="J43" s="784">
        <v>5409</v>
      </c>
      <c r="K43" s="784">
        <f t="shared" si="13"/>
        <v>100</v>
      </c>
    </row>
    <row r="44" spans="1:11" ht="22.5">
      <c r="A44" s="5"/>
      <c r="B44" s="446" t="s">
        <v>199</v>
      </c>
      <c r="C44" s="780" t="s">
        <v>321</v>
      </c>
      <c r="D44" s="782">
        <v>4</v>
      </c>
      <c r="E44" s="783">
        <v>14</v>
      </c>
      <c r="F44" s="783">
        <v>16</v>
      </c>
      <c r="G44" s="784">
        <f t="shared" si="11"/>
        <v>114.28571428571428</v>
      </c>
      <c r="H44" s="784">
        <v>5102</v>
      </c>
      <c r="I44" s="784">
        <v>6085</v>
      </c>
      <c r="J44" s="784">
        <v>6085</v>
      </c>
      <c r="K44" s="784">
        <f t="shared" si="13"/>
        <v>100</v>
      </c>
    </row>
    <row r="45" spans="1:11" ht="22.5">
      <c r="A45" s="5"/>
      <c r="B45" s="446" t="s">
        <v>362</v>
      </c>
      <c r="C45" s="780" t="s">
        <v>321</v>
      </c>
      <c r="D45" s="785"/>
      <c r="E45" s="783">
        <v>20</v>
      </c>
      <c r="F45" s="783">
        <v>23</v>
      </c>
      <c r="G45" s="784">
        <f t="shared" si="11"/>
        <v>114.99999999999999</v>
      </c>
      <c r="H45" s="784"/>
      <c r="I45" s="784">
        <v>1352</v>
      </c>
      <c r="J45" s="784">
        <v>1352</v>
      </c>
      <c r="K45" s="784">
        <f t="shared" si="13"/>
        <v>100</v>
      </c>
    </row>
    <row r="46" spans="1:11" ht="31.5">
      <c r="A46" s="1"/>
      <c r="B46" s="2" t="s">
        <v>19</v>
      </c>
      <c r="C46" s="95" t="s">
        <v>323</v>
      </c>
      <c r="D46" s="781">
        <v>84</v>
      </c>
      <c r="E46" s="775">
        <v>84</v>
      </c>
      <c r="F46" s="775">
        <v>103</v>
      </c>
      <c r="G46" s="781">
        <f t="shared" si="11"/>
        <v>122.61904761904762</v>
      </c>
      <c r="H46" s="781">
        <v>2616</v>
      </c>
      <c r="I46" s="781">
        <v>3025</v>
      </c>
      <c r="J46" s="781">
        <v>3025</v>
      </c>
      <c r="K46" s="781">
        <f t="shared" si="13"/>
        <v>100</v>
      </c>
    </row>
    <row r="47" spans="1:11">
      <c r="A47" s="1"/>
      <c r="B47" s="2" t="s">
        <v>22</v>
      </c>
      <c r="C47" s="95" t="s">
        <v>323</v>
      </c>
      <c r="D47" s="781">
        <v>12</v>
      </c>
      <c r="E47" s="775">
        <v>12</v>
      </c>
      <c r="F47" s="775">
        <v>13</v>
      </c>
      <c r="G47" s="781">
        <f t="shared" si="11"/>
        <v>108.33333333333333</v>
      </c>
      <c r="H47" s="781">
        <v>3737</v>
      </c>
      <c r="I47" s="781">
        <v>4322</v>
      </c>
      <c r="J47" s="781">
        <v>4322</v>
      </c>
      <c r="K47" s="781">
        <f t="shared" si="13"/>
        <v>100</v>
      </c>
    </row>
    <row r="48" spans="1:11" ht="39">
      <c r="A48" s="1"/>
      <c r="B48" s="2" t="s">
        <v>40</v>
      </c>
      <c r="C48" s="95" t="s">
        <v>324</v>
      </c>
      <c r="D48" s="781">
        <v>231</v>
      </c>
      <c r="E48" s="775">
        <v>231</v>
      </c>
      <c r="F48" s="775">
        <v>231</v>
      </c>
      <c r="G48" s="781">
        <f t="shared" si="11"/>
        <v>100</v>
      </c>
      <c r="H48" s="781">
        <v>1121</v>
      </c>
      <c r="I48" s="781">
        <v>1296</v>
      </c>
      <c r="J48" s="781">
        <v>1296</v>
      </c>
      <c r="K48" s="781">
        <f t="shared" si="13"/>
        <v>100</v>
      </c>
    </row>
    <row r="49" spans="1:12" ht="63">
      <c r="A49" s="1"/>
      <c r="B49" s="2" t="s">
        <v>37</v>
      </c>
      <c r="C49" s="95" t="s">
        <v>323</v>
      </c>
      <c r="D49" s="781">
        <v>4</v>
      </c>
      <c r="E49" s="775">
        <v>4</v>
      </c>
      <c r="F49" s="775">
        <v>8</v>
      </c>
      <c r="G49" s="781">
        <f t="shared" si="11"/>
        <v>200</v>
      </c>
      <c r="H49" s="781">
        <v>2242</v>
      </c>
      <c r="I49" s="781">
        <v>2593</v>
      </c>
      <c r="J49" s="781">
        <v>2593</v>
      </c>
      <c r="K49" s="781">
        <f t="shared" si="13"/>
        <v>100</v>
      </c>
    </row>
    <row r="50" spans="1:12" ht="31.5">
      <c r="A50" s="1"/>
      <c r="B50" s="2" t="s">
        <v>38</v>
      </c>
      <c r="C50" s="95" t="s">
        <v>363</v>
      </c>
      <c r="D50" s="781">
        <v>110</v>
      </c>
      <c r="E50" s="775">
        <v>110</v>
      </c>
      <c r="F50" s="775">
        <v>112</v>
      </c>
      <c r="G50" s="781">
        <f t="shared" si="11"/>
        <v>101.81818181818181</v>
      </c>
      <c r="H50" s="781">
        <v>1495</v>
      </c>
      <c r="I50" s="781">
        <v>1729</v>
      </c>
      <c r="J50" s="781">
        <v>1729</v>
      </c>
      <c r="K50" s="781">
        <f t="shared" si="13"/>
        <v>100</v>
      </c>
    </row>
    <row r="51" spans="1:12" ht="25.5">
      <c r="A51" s="786"/>
      <c r="B51" s="761" t="s">
        <v>262</v>
      </c>
      <c r="C51" s="787"/>
      <c r="D51" s="775"/>
      <c r="E51" s="509"/>
      <c r="F51" s="509"/>
      <c r="G51" s="509"/>
      <c r="H51" s="509">
        <v>716</v>
      </c>
      <c r="I51" s="775"/>
      <c r="J51" s="775"/>
      <c r="K51" s="775"/>
    </row>
    <row r="52" spans="1:12" ht="40.5">
      <c r="A52" s="138" t="s">
        <v>267</v>
      </c>
      <c r="B52" s="603" t="s">
        <v>272</v>
      </c>
      <c r="C52" s="314"/>
      <c r="D52" s="290">
        <f>D53+D97+D107+D113+D120+D121</f>
        <v>22173</v>
      </c>
      <c r="E52" s="290">
        <f>E53+E97+E107+E113+E120+E121</f>
        <v>23449</v>
      </c>
      <c r="F52" s="290">
        <f>F53+F97+F107+F113+F120+F121</f>
        <v>23475</v>
      </c>
      <c r="G52" s="334">
        <f>F52/E52*100</f>
        <v>100.11087892873896</v>
      </c>
      <c r="H52" s="290">
        <f>H53+H97+H107+H113+H120+H121</f>
        <v>1683364</v>
      </c>
      <c r="I52" s="290">
        <f t="shared" ref="I52:J52" si="14">I53+I97+I107+I113+I120+I121</f>
        <v>1651431</v>
      </c>
      <c r="J52" s="290">
        <f t="shared" si="14"/>
        <v>1642563</v>
      </c>
      <c r="K52" s="335">
        <f t="shared" ref="K52:K99" si="15">J52/I52*100</f>
        <v>99.463011170312285</v>
      </c>
    </row>
    <row r="53" spans="1:12" ht="18.75">
      <c r="A53" s="727"/>
      <c r="B53" s="728" t="s">
        <v>273</v>
      </c>
      <c r="C53" s="729"/>
      <c r="D53" s="742">
        <f>D54+D65+D59+D72+D93+D95+D71</f>
        <v>15417</v>
      </c>
      <c r="E53" s="742">
        <f>E54+E65+E59+E72+E93+E95+E71</f>
        <v>16612</v>
      </c>
      <c r="F53" s="742">
        <f t="shared" ref="F53:H53" si="16">F54+F65+F59+F72+F93+F95+F71</f>
        <v>16652</v>
      </c>
      <c r="G53" s="742">
        <f t="shared" si="16"/>
        <v>906.82079707360219</v>
      </c>
      <c r="H53" s="742">
        <f t="shared" si="16"/>
        <v>811030</v>
      </c>
      <c r="I53" s="742">
        <f>I54+I65+I59+I72+I93+I95+I71</f>
        <v>837784</v>
      </c>
      <c r="J53" s="742">
        <f>J54+J65+J59+J72+J93+J95+J71</f>
        <v>830087</v>
      </c>
      <c r="K53" s="743">
        <f>J53/I53*100</f>
        <v>99.081266770432478</v>
      </c>
    </row>
    <row r="54" spans="1:12" ht="31.5">
      <c r="A54" s="342"/>
      <c r="B54" s="204" t="s">
        <v>125</v>
      </c>
      <c r="C54" s="222" t="s">
        <v>61</v>
      </c>
      <c r="D54" s="344">
        <f>SUM(D55:D58)</f>
        <v>2322</v>
      </c>
      <c r="E54" s="344">
        <f t="shared" ref="E54:F54" si="17">SUM(E55:E58)</f>
        <v>2295</v>
      </c>
      <c r="F54" s="344">
        <f t="shared" si="17"/>
        <v>2295</v>
      </c>
      <c r="G54" s="257">
        <f>F54/E54*100</f>
        <v>100</v>
      </c>
      <c r="H54" s="344">
        <f>SUM(H55:H58)</f>
        <v>259097</v>
      </c>
      <c r="I54" s="344">
        <f t="shared" ref="I54:J54" si="18">SUM(I55:I58)</f>
        <v>264539</v>
      </c>
      <c r="J54" s="344">
        <f t="shared" si="18"/>
        <v>264539</v>
      </c>
      <c r="K54" s="257">
        <f>J54/I54*100</f>
        <v>100</v>
      </c>
      <c r="L54" s="64"/>
    </row>
    <row r="55" spans="1:12" ht="31.5">
      <c r="A55" s="348"/>
      <c r="B55" s="6" t="s">
        <v>334</v>
      </c>
      <c r="C55" s="136" t="s">
        <v>61</v>
      </c>
      <c r="D55" s="195">
        <v>125</v>
      </c>
      <c r="E55" s="575">
        <v>129</v>
      </c>
      <c r="F55" s="575">
        <v>129</v>
      </c>
      <c r="G55" s="264">
        <f t="shared" ref="G55:G100" si="19">F55/E55*100</f>
        <v>100</v>
      </c>
      <c r="H55" s="266">
        <v>18130</v>
      </c>
      <c r="I55" s="266">
        <v>20430</v>
      </c>
      <c r="J55" s="266">
        <f>20428+2</f>
        <v>20430</v>
      </c>
      <c r="K55" s="32">
        <f t="shared" si="15"/>
        <v>100</v>
      </c>
      <c r="L55" s="64"/>
    </row>
    <row r="56" spans="1:12" ht="47.25">
      <c r="A56" s="348"/>
      <c r="B56" s="6" t="s">
        <v>335</v>
      </c>
      <c r="C56" s="136" t="s">
        <v>61</v>
      </c>
      <c r="D56" s="195">
        <v>2</v>
      </c>
      <c r="E56" s="575">
        <v>2</v>
      </c>
      <c r="F56" s="575">
        <v>2</v>
      </c>
      <c r="G56" s="264">
        <f t="shared" si="19"/>
        <v>100</v>
      </c>
      <c r="H56" s="266">
        <v>1556</v>
      </c>
      <c r="I56" s="266">
        <v>1671</v>
      </c>
      <c r="J56" s="266">
        <v>1671</v>
      </c>
      <c r="K56" s="32">
        <f t="shared" si="15"/>
        <v>100</v>
      </c>
      <c r="L56" s="64"/>
    </row>
    <row r="57" spans="1:12">
      <c r="A57" s="348"/>
      <c r="B57" s="6" t="s">
        <v>128</v>
      </c>
      <c r="C57" s="136" t="s">
        <v>61</v>
      </c>
      <c r="D57" s="195">
        <v>2194</v>
      </c>
      <c r="E57" s="575">
        <v>2161</v>
      </c>
      <c r="F57" s="575">
        <v>2161</v>
      </c>
      <c r="G57" s="264">
        <f t="shared" si="19"/>
        <v>100</v>
      </c>
      <c r="H57" s="642">
        <f>238634-1</f>
        <v>238633</v>
      </c>
      <c r="I57" s="266">
        <v>239931</v>
      </c>
      <c r="J57" s="266">
        <f>239888-2+45</f>
        <v>239931</v>
      </c>
      <c r="K57" s="32">
        <f t="shared" si="15"/>
        <v>100</v>
      </c>
      <c r="L57" s="64"/>
    </row>
    <row r="58" spans="1:12">
      <c r="A58" s="348"/>
      <c r="B58" s="6" t="s">
        <v>129</v>
      </c>
      <c r="C58" s="136" t="s">
        <v>61</v>
      </c>
      <c r="D58" s="195">
        <v>1</v>
      </c>
      <c r="E58" s="575">
        <v>3</v>
      </c>
      <c r="F58" s="575">
        <v>3</v>
      </c>
      <c r="G58" s="264">
        <f t="shared" si="19"/>
        <v>100</v>
      </c>
      <c r="H58" s="642">
        <v>778</v>
      </c>
      <c r="I58" s="266">
        <v>2507</v>
      </c>
      <c r="J58" s="266">
        <v>2507</v>
      </c>
      <c r="K58" s="32">
        <f t="shared" si="15"/>
        <v>100</v>
      </c>
      <c r="L58" s="64"/>
    </row>
    <row r="59" spans="1:12" ht="31.5">
      <c r="A59" s="348"/>
      <c r="B59" s="204" t="s">
        <v>130</v>
      </c>
      <c r="C59" s="212" t="s">
        <v>61</v>
      </c>
      <c r="D59" s="576">
        <f>SUM(D60:D64)</f>
        <v>2575</v>
      </c>
      <c r="E59" s="576">
        <f t="shared" ref="E59:F59" si="20">SUM(E60:E64)</f>
        <v>2567</v>
      </c>
      <c r="F59" s="576">
        <f t="shared" si="20"/>
        <v>2567</v>
      </c>
      <c r="G59" s="361">
        <f t="shared" si="19"/>
        <v>100</v>
      </c>
      <c r="H59" s="576">
        <f>SUM(H60:H64)</f>
        <v>325708</v>
      </c>
      <c r="I59" s="576">
        <f t="shared" ref="I59:J59" si="21">SUM(I60:I64)</f>
        <v>349601</v>
      </c>
      <c r="J59" s="576">
        <f t="shared" si="21"/>
        <v>349601</v>
      </c>
      <c r="K59" s="580">
        <f t="shared" si="15"/>
        <v>100</v>
      </c>
      <c r="L59" s="64"/>
    </row>
    <row r="60" spans="1:12" ht="31.5">
      <c r="A60" s="348"/>
      <c r="B60" s="6" t="s">
        <v>336</v>
      </c>
      <c r="C60" s="136" t="s">
        <v>61</v>
      </c>
      <c r="D60" s="195">
        <v>156</v>
      </c>
      <c r="E60" s="575">
        <v>179</v>
      </c>
      <c r="F60" s="575">
        <v>179</v>
      </c>
      <c r="G60" s="264">
        <f t="shared" si="19"/>
        <v>100</v>
      </c>
      <c r="H60" s="266">
        <v>21629</v>
      </c>
      <c r="I60" s="266">
        <v>28688</v>
      </c>
      <c r="J60" s="266">
        <f>28685+3</f>
        <v>28688</v>
      </c>
      <c r="K60" s="32">
        <f t="shared" si="15"/>
        <v>100</v>
      </c>
      <c r="L60" s="64"/>
    </row>
    <row r="61" spans="1:12" ht="47.25">
      <c r="A61" s="342"/>
      <c r="B61" s="6" t="s">
        <v>337</v>
      </c>
      <c r="C61" s="136" t="s">
        <v>61</v>
      </c>
      <c r="D61" s="575">
        <v>2</v>
      </c>
      <c r="E61" s="575">
        <v>5</v>
      </c>
      <c r="F61" s="575">
        <v>5</v>
      </c>
      <c r="G61" s="257">
        <f>F61/E61*100</f>
        <v>100</v>
      </c>
      <c r="H61" s="643">
        <v>1556</v>
      </c>
      <c r="I61" s="643">
        <v>4179</v>
      </c>
      <c r="J61" s="643">
        <v>4179</v>
      </c>
      <c r="K61" s="32">
        <f t="shared" si="15"/>
        <v>100</v>
      </c>
      <c r="L61" s="64"/>
    </row>
    <row r="62" spans="1:12" ht="47.25">
      <c r="A62" s="348"/>
      <c r="B62" s="6" t="s">
        <v>338</v>
      </c>
      <c r="C62" s="136" t="s">
        <v>61</v>
      </c>
      <c r="D62" s="195">
        <v>340</v>
      </c>
      <c r="E62" s="575">
        <v>322</v>
      </c>
      <c r="F62" s="575">
        <v>322</v>
      </c>
      <c r="G62" s="264">
        <f t="shared" si="19"/>
        <v>100</v>
      </c>
      <c r="H62" s="266">
        <v>45491</v>
      </c>
      <c r="I62" s="266">
        <v>46169</v>
      </c>
      <c r="J62" s="266">
        <f>46150+19</f>
        <v>46169</v>
      </c>
      <c r="K62" s="32">
        <f t="shared" si="15"/>
        <v>100</v>
      </c>
      <c r="L62" s="64"/>
    </row>
    <row r="63" spans="1:12">
      <c r="A63" s="348"/>
      <c r="B63" s="6" t="s">
        <v>134</v>
      </c>
      <c r="C63" s="136" t="s">
        <v>61</v>
      </c>
      <c r="D63" s="195">
        <v>2073</v>
      </c>
      <c r="E63" s="575">
        <v>2056</v>
      </c>
      <c r="F63" s="575">
        <v>2056</v>
      </c>
      <c r="G63" s="264">
        <f t="shared" si="19"/>
        <v>100</v>
      </c>
      <c r="H63" s="266">
        <v>253921</v>
      </c>
      <c r="I63" s="266">
        <v>266385</v>
      </c>
      <c r="J63" s="266">
        <f>266349+36</f>
        <v>266385</v>
      </c>
      <c r="K63" s="32">
        <f>J63/I63*100</f>
        <v>100</v>
      </c>
      <c r="L63" s="64"/>
    </row>
    <row r="64" spans="1:12">
      <c r="A64" s="348"/>
      <c r="B64" s="6" t="s">
        <v>192</v>
      </c>
      <c r="C64" s="136" t="s">
        <v>61</v>
      </c>
      <c r="D64" s="195">
        <v>4</v>
      </c>
      <c r="E64" s="575">
        <v>5</v>
      </c>
      <c r="F64" s="575">
        <v>5</v>
      </c>
      <c r="G64" s="264">
        <f t="shared" si="19"/>
        <v>100</v>
      </c>
      <c r="H64" s="266">
        <v>3111</v>
      </c>
      <c r="I64" s="266">
        <v>4180</v>
      </c>
      <c r="J64" s="266">
        <v>4180</v>
      </c>
      <c r="K64" s="32">
        <f t="shared" si="15"/>
        <v>100</v>
      </c>
      <c r="L64" s="64"/>
    </row>
    <row r="65" spans="1:12" ht="31.5">
      <c r="A65" s="356"/>
      <c r="B65" s="204" t="s">
        <v>136</v>
      </c>
      <c r="C65" s="205" t="s">
        <v>61</v>
      </c>
      <c r="D65" s="576">
        <f>SUM(D66:D70)</f>
        <v>500</v>
      </c>
      <c r="E65" s="576">
        <f t="shared" ref="E65:F65" si="22">SUM(E66:E71)</f>
        <v>488</v>
      </c>
      <c r="F65" s="576">
        <f t="shared" si="22"/>
        <v>488</v>
      </c>
      <c r="G65" s="361">
        <f t="shared" si="19"/>
        <v>100</v>
      </c>
      <c r="H65" s="576">
        <f>SUM(H66:H70)</f>
        <v>70495</v>
      </c>
      <c r="I65" s="576">
        <f>SUM(I66:I70)</f>
        <v>74448</v>
      </c>
      <c r="J65" s="576">
        <f>SUM(J66:J70)</f>
        <v>74446</v>
      </c>
      <c r="K65" s="580">
        <f t="shared" si="15"/>
        <v>99.997313561143358</v>
      </c>
      <c r="L65" s="64"/>
    </row>
    <row r="66" spans="1:12" ht="31.5">
      <c r="A66" s="348"/>
      <c r="B66" s="6" t="s">
        <v>339</v>
      </c>
      <c r="C66" s="136" t="s">
        <v>61</v>
      </c>
      <c r="D66" s="195">
        <v>1</v>
      </c>
      <c r="E66" s="575">
        <v>1</v>
      </c>
      <c r="F66" s="575">
        <v>1</v>
      </c>
      <c r="G66" s="264"/>
      <c r="H66" s="642">
        <v>285</v>
      </c>
      <c r="I66" s="266">
        <v>313</v>
      </c>
      <c r="J66" s="266">
        <v>313</v>
      </c>
      <c r="K66" s="32">
        <f t="shared" si="15"/>
        <v>100</v>
      </c>
      <c r="L66" s="64"/>
    </row>
    <row r="67" spans="1:12" ht="47.25">
      <c r="A67" s="348"/>
      <c r="B67" s="6" t="s">
        <v>340</v>
      </c>
      <c r="C67" s="136" t="s">
        <v>61</v>
      </c>
      <c r="D67" s="195">
        <v>1</v>
      </c>
      <c r="E67" s="575">
        <v>1</v>
      </c>
      <c r="F67" s="575">
        <v>1</v>
      </c>
      <c r="G67" s="264">
        <f t="shared" si="19"/>
        <v>100</v>
      </c>
      <c r="H67" s="642">
        <v>778</v>
      </c>
      <c r="I67" s="266">
        <v>836</v>
      </c>
      <c r="J67" s="266">
        <v>836</v>
      </c>
      <c r="K67" s="32">
        <f t="shared" si="15"/>
        <v>100</v>
      </c>
      <c r="L67" s="64"/>
    </row>
    <row r="68" spans="1:12" ht="47.25">
      <c r="A68" s="348"/>
      <c r="B68" s="6" t="s">
        <v>341</v>
      </c>
      <c r="C68" s="136" t="s">
        <v>61</v>
      </c>
      <c r="D68" s="195">
        <v>355</v>
      </c>
      <c r="E68" s="575">
        <v>380</v>
      </c>
      <c r="F68" s="575">
        <v>380</v>
      </c>
      <c r="G68" s="264">
        <f t="shared" si="19"/>
        <v>100</v>
      </c>
      <c r="H68" s="642">
        <v>50508</v>
      </c>
      <c r="I68" s="266">
        <v>57969</v>
      </c>
      <c r="J68" s="266">
        <f>57958+11</f>
        <v>57969</v>
      </c>
      <c r="K68" s="32">
        <f t="shared" si="15"/>
        <v>100</v>
      </c>
      <c r="L68" s="64"/>
    </row>
    <row r="69" spans="1:12" ht="47.25">
      <c r="A69" s="348"/>
      <c r="B69" s="6" t="s">
        <v>342</v>
      </c>
      <c r="C69" s="136" t="s">
        <v>61</v>
      </c>
      <c r="D69" s="195"/>
      <c r="E69" s="575">
        <v>1</v>
      </c>
      <c r="F69" s="575">
        <v>1</v>
      </c>
      <c r="G69" s="264">
        <f t="shared" si="19"/>
        <v>100</v>
      </c>
      <c r="H69" s="642"/>
      <c r="I69" s="266">
        <v>836</v>
      </c>
      <c r="J69" s="266">
        <v>836</v>
      </c>
      <c r="K69" s="32">
        <f t="shared" si="15"/>
        <v>100</v>
      </c>
      <c r="L69" s="64"/>
    </row>
    <row r="70" spans="1:12">
      <c r="A70" s="348"/>
      <c r="B70" s="6" t="s">
        <v>141</v>
      </c>
      <c r="C70" s="136" t="s">
        <v>61</v>
      </c>
      <c r="D70" s="195">
        <v>143</v>
      </c>
      <c r="E70" s="575">
        <v>104</v>
      </c>
      <c r="F70" s="575">
        <v>104</v>
      </c>
      <c r="G70" s="264">
        <f t="shared" si="19"/>
        <v>100</v>
      </c>
      <c r="H70" s="642">
        <v>18924</v>
      </c>
      <c r="I70" s="642">
        <v>14494</v>
      </c>
      <c r="J70" s="642">
        <v>14492</v>
      </c>
      <c r="K70" s="32">
        <f t="shared" si="15"/>
        <v>99.98620118669794</v>
      </c>
      <c r="L70" s="64"/>
    </row>
    <row r="71" spans="1:12" ht="63">
      <c r="A71" s="342"/>
      <c r="B71" s="6" t="s">
        <v>86</v>
      </c>
      <c r="C71" s="136" t="s">
        <v>333</v>
      </c>
      <c r="D71" s="344">
        <v>1</v>
      </c>
      <c r="E71" s="575">
        <v>1</v>
      </c>
      <c r="F71" s="575">
        <v>1</v>
      </c>
      <c r="G71" s="575">
        <f t="shared" ref="G71" si="23">G72+G73+G74+G75+G76</f>
        <v>405.94705308059213</v>
      </c>
      <c r="H71" s="575">
        <v>32</v>
      </c>
      <c r="I71" s="575">
        <v>34</v>
      </c>
      <c r="J71" s="575">
        <v>34</v>
      </c>
      <c r="K71" s="32">
        <f t="shared" si="15"/>
        <v>100</v>
      </c>
      <c r="L71" s="64"/>
    </row>
    <row r="72" spans="1:12">
      <c r="A72" s="356"/>
      <c r="B72" s="204" t="s">
        <v>64</v>
      </c>
      <c r="C72" s="205" t="s">
        <v>61</v>
      </c>
      <c r="D72" s="576">
        <f>D73+D77+D81+D85+D89</f>
        <v>4736</v>
      </c>
      <c r="E72" s="576">
        <f>E73+E77+E81+E85+E89</f>
        <v>4578</v>
      </c>
      <c r="F72" s="576">
        <f>F73+F77+F81+F85+F89</f>
        <v>4618</v>
      </c>
      <c r="G72" s="361">
        <f t="shared" si="19"/>
        <v>100.87374399301005</v>
      </c>
      <c r="H72" s="576">
        <f>H73+H77+H81+H85+H89</f>
        <v>146121</v>
      </c>
      <c r="I72" s="576">
        <f>I73+I77+I81+I85+I89</f>
        <v>135494</v>
      </c>
      <c r="J72" s="576">
        <f t="shared" ref="J72" si="24">J73+J77+J81+J85+J89</f>
        <v>127799</v>
      </c>
      <c r="K72" s="580">
        <f t="shared" si="15"/>
        <v>94.320781732032415</v>
      </c>
    </row>
    <row r="73" spans="1:12" ht="31.5">
      <c r="A73" s="348"/>
      <c r="B73" s="6" t="s">
        <v>66</v>
      </c>
      <c r="C73" s="136" t="s">
        <v>61</v>
      </c>
      <c r="D73" s="195">
        <f>SUM(D74:D76)</f>
        <v>1720</v>
      </c>
      <c r="E73" s="195">
        <f t="shared" ref="E73:F73" si="25">SUM(E74:E76)</f>
        <v>1710</v>
      </c>
      <c r="F73" s="195">
        <f t="shared" si="25"/>
        <v>1740</v>
      </c>
      <c r="G73" s="264">
        <f t="shared" si="19"/>
        <v>101.75438596491229</v>
      </c>
      <c r="H73" s="195">
        <f>SUM(H74:H76)</f>
        <v>89095</v>
      </c>
      <c r="I73" s="195">
        <f t="shared" ref="I73:J73" si="26">SUM(I74:I76)</f>
        <v>87171</v>
      </c>
      <c r="J73" s="195">
        <f t="shared" si="26"/>
        <v>82446</v>
      </c>
      <c r="K73" s="32">
        <f t="shared" si="15"/>
        <v>94.579619368826783</v>
      </c>
    </row>
    <row r="74" spans="1:12">
      <c r="A74" s="348"/>
      <c r="B74" s="37" t="s">
        <v>67</v>
      </c>
      <c r="C74" s="136" t="s">
        <v>61</v>
      </c>
      <c r="D74" s="195">
        <v>769</v>
      </c>
      <c r="E74" s="575">
        <v>767</v>
      </c>
      <c r="F74" s="575">
        <v>779</v>
      </c>
      <c r="G74" s="264">
        <f t="shared" si="19"/>
        <v>101.56453715775751</v>
      </c>
      <c r="H74" s="266">
        <v>39834</v>
      </c>
      <c r="I74" s="266">
        <v>39120</v>
      </c>
      <c r="J74" s="266">
        <v>36930</v>
      </c>
      <c r="K74" s="32">
        <f t="shared" si="15"/>
        <v>94.401840490797554</v>
      </c>
    </row>
    <row r="75" spans="1:12">
      <c r="A75" s="348"/>
      <c r="B75" s="37" t="s">
        <v>68</v>
      </c>
      <c r="C75" s="136" t="s">
        <v>61</v>
      </c>
      <c r="D75" s="195">
        <v>833</v>
      </c>
      <c r="E75" s="575">
        <v>829</v>
      </c>
      <c r="F75" s="575">
        <v>845</v>
      </c>
      <c r="G75" s="264">
        <v>0</v>
      </c>
      <c r="H75" s="642">
        <v>43149</v>
      </c>
      <c r="I75" s="642">
        <v>42257</v>
      </c>
      <c r="J75" s="642">
        <v>40026</v>
      </c>
      <c r="K75" s="32">
        <f t="shared" si="15"/>
        <v>94.720401353621881</v>
      </c>
    </row>
    <row r="76" spans="1:12">
      <c r="A76" s="348"/>
      <c r="B76" s="37" t="s">
        <v>69</v>
      </c>
      <c r="C76" s="136" t="s">
        <v>61</v>
      </c>
      <c r="D76" s="195">
        <v>118</v>
      </c>
      <c r="E76" s="575">
        <v>114</v>
      </c>
      <c r="F76" s="575">
        <v>116</v>
      </c>
      <c r="G76" s="264">
        <f t="shared" si="19"/>
        <v>101.75438596491229</v>
      </c>
      <c r="H76" s="642">
        <v>6112</v>
      </c>
      <c r="I76" s="642">
        <v>5794</v>
      </c>
      <c r="J76" s="642">
        <f>5486+4</f>
        <v>5490</v>
      </c>
      <c r="K76" s="32">
        <f t="shared" si="15"/>
        <v>94.75319295823266</v>
      </c>
    </row>
    <row r="77" spans="1:12" ht="31.5">
      <c r="A77" s="348"/>
      <c r="B77" s="6" t="s">
        <v>71</v>
      </c>
      <c r="C77" s="136" t="s">
        <v>61</v>
      </c>
      <c r="D77" s="195">
        <f>SUM(D78:D80)</f>
        <v>5</v>
      </c>
      <c r="E77" s="195">
        <f t="shared" ref="E77:F77" si="27">SUM(E78:E80)</f>
        <v>7</v>
      </c>
      <c r="F77" s="195">
        <f t="shared" si="27"/>
        <v>7</v>
      </c>
      <c r="G77" s="264">
        <f t="shared" si="19"/>
        <v>100</v>
      </c>
      <c r="H77" s="195">
        <f>SUM(H78:H80)</f>
        <v>130</v>
      </c>
      <c r="I77" s="195">
        <f t="shared" ref="I77:J77" si="28">SUM(I78:I80)</f>
        <v>173</v>
      </c>
      <c r="J77" s="195">
        <f t="shared" si="28"/>
        <v>161</v>
      </c>
      <c r="K77" s="32">
        <f t="shared" si="15"/>
        <v>93.063583815028906</v>
      </c>
    </row>
    <row r="78" spans="1:12" s="19" customFormat="1">
      <c r="A78" s="356"/>
      <c r="B78" s="37" t="s">
        <v>67</v>
      </c>
      <c r="C78" s="136" t="s">
        <v>61</v>
      </c>
      <c r="D78" s="575">
        <v>3</v>
      </c>
      <c r="E78" s="575">
        <v>3</v>
      </c>
      <c r="F78" s="575">
        <v>3</v>
      </c>
      <c r="G78" s="264">
        <f t="shared" si="19"/>
        <v>100</v>
      </c>
      <c r="H78" s="195">
        <v>78</v>
      </c>
      <c r="I78" s="195">
        <v>75</v>
      </c>
      <c r="J78" s="195">
        <v>70</v>
      </c>
      <c r="K78" s="32">
        <f t="shared" si="15"/>
        <v>93.333333333333329</v>
      </c>
    </row>
    <row r="79" spans="1:12">
      <c r="A79" s="348"/>
      <c r="B79" s="37" t="s">
        <v>68</v>
      </c>
      <c r="C79" s="136" t="s">
        <v>61</v>
      </c>
      <c r="D79" s="195">
        <v>0</v>
      </c>
      <c r="E79" s="575">
        <v>3</v>
      </c>
      <c r="F79" s="575">
        <v>3</v>
      </c>
      <c r="G79" s="264">
        <f t="shared" si="19"/>
        <v>100</v>
      </c>
      <c r="H79" s="266">
        <v>0</v>
      </c>
      <c r="I79" s="266">
        <v>73</v>
      </c>
      <c r="J79" s="266">
        <v>68</v>
      </c>
      <c r="K79" s="32">
        <f t="shared" si="15"/>
        <v>93.150684931506845</v>
      </c>
    </row>
    <row r="80" spans="1:12">
      <c r="A80" s="348"/>
      <c r="B80" s="37" t="s">
        <v>69</v>
      </c>
      <c r="C80" s="136" t="s">
        <v>61</v>
      </c>
      <c r="D80" s="195">
        <v>2</v>
      </c>
      <c r="E80" s="575">
        <v>1</v>
      </c>
      <c r="F80" s="575">
        <v>1</v>
      </c>
      <c r="G80" s="264">
        <f t="shared" si="19"/>
        <v>100</v>
      </c>
      <c r="H80" s="266">
        <v>52</v>
      </c>
      <c r="I80" s="266">
        <v>25</v>
      </c>
      <c r="J80" s="266">
        <v>23</v>
      </c>
      <c r="K80" s="32">
        <f t="shared" si="15"/>
        <v>92</v>
      </c>
    </row>
    <row r="81" spans="1:11" ht="47.25">
      <c r="A81" s="348"/>
      <c r="B81" s="6" t="s">
        <v>73</v>
      </c>
      <c r="C81" s="136" t="s">
        <v>61</v>
      </c>
      <c r="D81" s="195">
        <f>SUM(D82:D84)</f>
        <v>1409</v>
      </c>
      <c r="E81" s="195">
        <f t="shared" ref="E81:F81" si="29">SUM(E82:E84)</f>
        <v>1282</v>
      </c>
      <c r="F81" s="195">
        <f t="shared" si="29"/>
        <v>1305</v>
      </c>
      <c r="G81" s="264">
        <f t="shared" si="19"/>
        <v>101.79407176287052</v>
      </c>
      <c r="H81" s="266">
        <f>SUM(H82:H84)</f>
        <v>20535</v>
      </c>
      <c r="I81" s="266">
        <f t="shared" ref="I81:J81" si="30">SUM(I82:I84)</f>
        <v>17632</v>
      </c>
      <c r="J81" s="266">
        <f t="shared" si="30"/>
        <v>16823</v>
      </c>
      <c r="K81" s="32">
        <f t="shared" si="15"/>
        <v>95.411751361161521</v>
      </c>
    </row>
    <row r="82" spans="1:11">
      <c r="A82" s="348"/>
      <c r="B82" s="37" t="s">
        <v>67</v>
      </c>
      <c r="C82" s="136" t="s">
        <v>61</v>
      </c>
      <c r="D82" s="195">
        <v>0</v>
      </c>
      <c r="E82" s="575">
        <v>0</v>
      </c>
      <c r="F82" s="575">
        <v>0</v>
      </c>
      <c r="G82" s="264" t="e">
        <f t="shared" si="19"/>
        <v>#DIV/0!</v>
      </c>
      <c r="H82" s="266">
        <v>0</v>
      </c>
      <c r="I82" s="266">
        <v>0</v>
      </c>
      <c r="J82" s="266"/>
      <c r="K82" s="32" t="e">
        <f t="shared" si="15"/>
        <v>#DIV/0!</v>
      </c>
    </row>
    <row r="83" spans="1:11">
      <c r="A83" s="348"/>
      <c r="B83" s="37" t="s">
        <v>68</v>
      </c>
      <c r="C83" s="136" t="s">
        <v>61</v>
      </c>
      <c r="D83" s="195">
        <v>1245</v>
      </c>
      <c r="E83" s="575">
        <v>1125</v>
      </c>
      <c r="F83" s="575">
        <v>1143</v>
      </c>
      <c r="G83" s="264">
        <f t="shared" si="19"/>
        <v>101.6</v>
      </c>
      <c r="H83" s="642">
        <v>18145</v>
      </c>
      <c r="I83" s="642">
        <v>15443</v>
      </c>
      <c r="J83" s="642">
        <v>14728</v>
      </c>
      <c r="K83" s="32">
        <f t="shared" si="15"/>
        <v>95.370070582140769</v>
      </c>
    </row>
    <row r="84" spans="1:11">
      <c r="A84" s="348"/>
      <c r="B84" s="37" t="s">
        <v>69</v>
      </c>
      <c r="C84" s="136" t="s">
        <v>61</v>
      </c>
      <c r="D84" s="195">
        <v>164</v>
      </c>
      <c r="E84" s="575">
        <v>157</v>
      </c>
      <c r="F84" s="575">
        <v>162</v>
      </c>
      <c r="G84" s="264">
        <v>0</v>
      </c>
      <c r="H84" s="642">
        <v>2390</v>
      </c>
      <c r="I84" s="266">
        <v>2189</v>
      </c>
      <c r="J84" s="266">
        <v>2095</v>
      </c>
      <c r="K84" s="32">
        <f t="shared" si="15"/>
        <v>95.705801735952491</v>
      </c>
    </row>
    <row r="85" spans="1:11" ht="47.25">
      <c r="A85" s="348"/>
      <c r="B85" s="6" t="s">
        <v>75</v>
      </c>
      <c r="C85" s="136" t="s">
        <v>61</v>
      </c>
      <c r="D85" s="195">
        <f>SUM(D86:D88)</f>
        <v>1550</v>
      </c>
      <c r="E85" s="195">
        <f t="shared" ref="E85:F85" si="31">SUM(E86:E88)</f>
        <v>1525</v>
      </c>
      <c r="F85" s="195">
        <f t="shared" si="31"/>
        <v>1513</v>
      </c>
      <c r="G85" s="264">
        <f t="shared" si="19"/>
        <v>99.21311475409837</v>
      </c>
      <c r="H85" s="266">
        <f>SUM(H86:H88)</f>
        <v>34720</v>
      </c>
      <c r="I85" s="266">
        <f t="shared" ref="I85:J85" si="32">SUM(I86:I88)</f>
        <v>29172</v>
      </c>
      <c r="J85" s="266">
        <f t="shared" si="32"/>
        <v>27110</v>
      </c>
      <c r="K85" s="32">
        <f t="shared" si="15"/>
        <v>92.931578225695873</v>
      </c>
    </row>
    <row r="86" spans="1:11">
      <c r="A86" s="348"/>
      <c r="B86" s="37" t="s">
        <v>67</v>
      </c>
      <c r="C86" s="136" t="s">
        <v>61</v>
      </c>
      <c r="D86" s="195">
        <v>1550</v>
      </c>
      <c r="E86" s="575">
        <v>1525</v>
      </c>
      <c r="F86" s="575">
        <v>1513</v>
      </c>
      <c r="G86" s="264">
        <f t="shared" si="19"/>
        <v>99.21311475409837</v>
      </c>
      <c r="H86" s="266">
        <v>34720</v>
      </c>
      <c r="I86" s="266">
        <v>29172</v>
      </c>
      <c r="J86" s="266">
        <v>27110</v>
      </c>
      <c r="K86" s="32">
        <f t="shared" si="15"/>
        <v>92.931578225695873</v>
      </c>
    </row>
    <row r="87" spans="1:11">
      <c r="A87" s="348"/>
      <c r="B87" s="37" t="s">
        <v>68</v>
      </c>
      <c r="C87" s="136" t="s">
        <v>61</v>
      </c>
      <c r="D87" s="195">
        <v>0</v>
      </c>
      <c r="E87" s="575">
        <v>0</v>
      </c>
      <c r="F87" s="575">
        <v>0</v>
      </c>
      <c r="G87" s="264" t="e">
        <f t="shared" si="19"/>
        <v>#DIV/0!</v>
      </c>
      <c r="H87" s="642">
        <v>0</v>
      </c>
      <c r="I87" s="642">
        <v>0</v>
      </c>
      <c r="J87" s="642">
        <v>0</v>
      </c>
      <c r="K87" s="32" t="e">
        <f t="shared" si="15"/>
        <v>#DIV/0!</v>
      </c>
    </row>
    <row r="88" spans="1:11">
      <c r="A88" s="348"/>
      <c r="B88" s="37" t="s">
        <v>69</v>
      </c>
      <c r="C88" s="136" t="s">
        <v>61</v>
      </c>
      <c r="D88" s="195">
        <v>0</v>
      </c>
      <c r="E88" s="575">
        <v>0</v>
      </c>
      <c r="F88" s="575">
        <v>0</v>
      </c>
      <c r="G88" s="264" t="e">
        <f t="shared" si="19"/>
        <v>#DIV/0!</v>
      </c>
      <c r="H88" s="266">
        <v>0</v>
      </c>
      <c r="I88" s="266">
        <v>0</v>
      </c>
      <c r="J88" s="266">
        <v>0</v>
      </c>
      <c r="K88" s="32" t="e">
        <f t="shared" si="15"/>
        <v>#DIV/0!</v>
      </c>
    </row>
    <row r="89" spans="1:11" ht="47.25">
      <c r="A89" s="348"/>
      <c r="B89" s="6" t="s">
        <v>343</v>
      </c>
      <c r="C89" s="136" t="s">
        <v>61</v>
      </c>
      <c r="D89" s="195">
        <f>SUM(D90:D92)</f>
        <v>52</v>
      </c>
      <c r="E89" s="195">
        <f t="shared" ref="E89:F89" si="33">SUM(E90:E92)</f>
        <v>54</v>
      </c>
      <c r="F89" s="195">
        <f t="shared" si="33"/>
        <v>53</v>
      </c>
      <c r="G89" s="264">
        <f t="shared" si="19"/>
        <v>98.148148148148152</v>
      </c>
      <c r="H89" s="266">
        <f>SUM(H90:H92)</f>
        <v>1641</v>
      </c>
      <c r="I89" s="266">
        <f t="shared" ref="I89:J89" si="34">SUM(I90:I92)</f>
        <v>1346</v>
      </c>
      <c r="J89" s="266">
        <f t="shared" si="34"/>
        <v>1259</v>
      </c>
      <c r="K89" s="32">
        <f t="shared" si="15"/>
        <v>93.536404160475485</v>
      </c>
    </row>
    <row r="90" spans="1:11">
      <c r="A90" s="348"/>
      <c r="B90" s="37" t="s">
        <v>67</v>
      </c>
      <c r="C90" s="136" t="s">
        <v>61</v>
      </c>
      <c r="D90" s="195">
        <v>0</v>
      </c>
      <c r="E90" s="575">
        <v>0</v>
      </c>
      <c r="F90" s="575">
        <v>0</v>
      </c>
      <c r="G90" s="264" t="e">
        <f t="shared" si="19"/>
        <v>#DIV/0!</v>
      </c>
      <c r="H90" s="266">
        <v>0</v>
      </c>
      <c r="I90" s="266">
        <v>0</v>
      </c>
      <c r="J90" s="266">
        <v>0</v>
      </c>
      <c r="K90" s="32" t="e">
        <f t="shared" si="15"/>
        <v>#DIV/0!</v>
      </c>
    </row>
    <row r="91" spans="1:11">
      <c r="A91" s="348"/>
      <c r="B91" s="37" t="s">
        <v>68</v>
      </c>
      <c r="C91" s="136" t="s">
        <v>61</v>
      </c>
      <c r="D91" s="195">
        <v>47</v>
      </c>
      <c r="E91" s="575">
        <v>50</v>
      </c>
      <c r="F91" s="575">
        <v>49</v>
      </c>
      <c r="G91" s="264">
        <f t="shared" si="19"/>
        <v>98</v>
      </c>
      <c r="H91" s="266">
        <v>1483</v>
      </c>
      <c r="I91" s="266">
        <v>1246</v>
      </c>
      <c r="J91" s="266">
        <v>1164</v>
      </c>
      <c r="K91" s="32">
        <f t="shared" si="15"/>
        <v>93.418940609951846</v>
      </c>
    </row>
    <row r="92" spans="1:11">
      <c r="A92" s="348"/>
      <c r="B92" s="37" t="s">
        <v>69</v>
      </c>
      <c r="C92" s="136" t="s">
        <v>61</v>
      </c>
      <c r="D92" s="195">
        <v>5</v>
      </c>
      <c r="E92" s="575">
        <v>4</v>
      </c>
      <c r="F92" s="575">
        <v>4</v>
      </c>
      <c r="G92" s="264">
        <f t="shared" si="19"/>
        <v>100</v>
      </c>
      <c r="H92" s="266">
        <v>158</v>
      </c>
      <c r="I92" s="266">
        <v>100</v>
      </c>
      <c r="J92" s="266">
        <v>95</v>
      </c>
      <c r="K92" s="32">
        <f t="shared" si="15"/>
        <v>95</v>
      </c>
    </row>
    <row r="93" spans="1:11">
      <c r="A93" s="356"/>
      <c r="B93" s="204" t="s">
        <v>31</v>
      </c>
      <c r="C93" s="205" t="s">
        <v>76</v>
      </c>
      <c r="D93" s="344">
        <f>D94</f>
        <v>0</v>
      </c>
      <c r="E93" s="344">
        <f t="shared" ref="E93:F93" si="35">E94</f>
        <v>1400</v>
      </c>
      <c r="F93" s="344">
        <f t="shared" si="35"/>
        <v>1400</v>
      </c>
      <c r="G93" s="257"/>
      <c r="H93" s="259">
        <f>SUM(H94)</f>
        <v>0</v>
      </c>
      <c r="I93" s="259">
        <f>SUM(I94)</f>
        <v>3049</v>
      </c>
      <c r="J93" s="259">
        <f>SUM(J94)</f>
        <v>3049</v>
      </c>
      <c r="K93" s="579"/>
    </row>
    <row r="94" spans="1:11">
      <c r="A94" s="348"/>
      <c r="B94" s="6" t="s">
        <v>142</v>
      </c>
      <c r="C94" s="136" t="s">
        <v>76</v>
      </c>
      <c r="D94" s="195">
        <v>0</v>
      </c>
      <c r="E94" s="575">
        <v>1400</v>
      </c>
      <c r="F94" s="575">
        <v>1400</v>
      </c>
      <c r="G94" s="264">
        <f t="shared" si="19"/>
        <v>100</v>
      </c>
      <c r="H94" s="266">
        <v>0</v>
      </c>
      <c r="I94" s="266">
        <v>3049</v>
      </c>
      <c r="J94" s="266">
        <v>3049</v>
      </c>
      <c r="K94" s="32">
        <f t="shared" si="15"/>
        <v>100</v>
      </c>
    </row>
    <row r="95" spans="1:11">
      <c r="A95" s="356"/>
      <c r="B95" s="204" t="s">
        <v>78</v>
      </c>
      <c r="C95" s="205" t="s">
        <v>5</v>
      </c>
      <c r="D95" s="344">
        <f>D96</f>
        <v>5283</v>
      </c>
      <c r="E95" s="344">
        <f t="shared" ref="E95:F95" si="36">E96</f>
        <v>5283</v>
      </c>
      <c r="F95" s="344">
        <f t="shared" si="36"/>
        <v>5283</v>
      </c>
      <c r="G95" s="257">
        <f t="shared" si="19"/>
        <v>100</v>
      </c>
      <c r="H95" s="344">
        <f>H96</f>
        <v>9577</v>
      </c>
      <c r="I95" s="344">
        <f>I96</f>
        <v>10619</v>
      </c>
      <c r="J95" s="344">
        <f>J96</f>
        <v>10619</v>
      </c>
      <c r="K95" s="579">
        <f t="shared" si="15"/>
        <v>100</v>
      </c>
    </row>
    <row r="96" spans="1:11">
      <c r="A96" s="348"/>
      <c r="B96" s="6" t="s">
        <v>79</v>
      </c>
      <c r="C96" s="136" t="s">
        <v>5</v>
      </c>
      <c r="D96" s="195">
        <v>5283</v>
      </c>
      <c r="E96" s="575">
        <v>5283</v>
      </c>
      <c r="F96" s="575">
        <v>5283</v>
      </c>
      <c r="G96" s="264">
        <f t="shared" si="19"/>
        <v>100</v>
      </c>
      <c r="H96" s="642">
        <v>9577</v>
      </c>
      <c r="I96" s="642">
        <v>10619</v>
      </c>
      <c r="J96" s="642">
        <v>10619</v>
      </c>
      <c r="K96" s="32">
        <f t="shared" si="15"/>
        <v>100</v>
      </c>
    </row>
    <row r="97" spans="1:11" ht="18.75">
      <c r="A97" s="708"/>
      <c r="B97" s="709" t="s">
        <v>292</v>
      </c>
      <c r="C97" s="710"/>
      <c r="D97" s="711">
        <f>D98+D102</f>
        <v>5342</v>
      </c>
      <c r="E97" s="711">
        <f t="shared" ref="E97:F97" si="37">E98+E102</f>
        <v>5114</v>
      </c>
      <c r="F97" s="711">
        <f t="shared" si="37"/>
        <v>5100</v>
      </c>
      <c r="G97" s="712">
        <f t="shared" si="19"/>
        <v>99.726241689479849</v>
      </c>
      <c r="H97" s="711">
        <f>H98+H102</f>
        <v>678850</v>
      </c>
      <c r="I97" s="711">
        <f>I98+I102+I106</f>
        <v>744112</v>
      </c>
      <c r="J97" s="711">
        <f>J98+J102+J106</f>
        <v>744112</v>
      </c>
      <c r="K97" s="744">
        <f t="shared" si="15"/>
        <v>100</v>
      </c>
    </row>
    <row r="98" spans="1:11">
      <c r="A98" s="203" t="s">
        <v>4</v>
      </c>
      <c r="B98" s="204" t="s">
        <v>89</v>
      </c>
      <c r="C98" s="205" t="s">
        <v>90</v>
      </c>
      <c r="D98" s="576">
        <f>D99+D100+D101</f>
        <v>2671</v>
      </c>
      <c r="E98" s="576">
        <f t="shared" ref="E98:F98" si="38">E99+E100+E101</f>
        <v>2557</v>
      </c>
      <c r="F98" s="576">
        <f t="shared" si="38"/>
        <v>2550</v>
      </c>
      <c r="G98" s="361">
        <f t="shared" si="19"/>
        <v>99.726241689479849</v>
      </c>
      <c r="H98" s="576">
        <f t="shared" ref="H98:J98" si="39">H99+H100+H101</f>
        <v>5286</v>
      </c>
      <c r="I98" s="576">
        <f t="shared" si="39"/>
        <v>9496</v>
      </c>
      <c r="J98" s="576">
        <f t="shared" si="39"/>
        <v>9496</v>
      </c>
      <c r="K98" s="32">
        <f t="shared" si="15"/>
        <v>100</v>
      </c>
    </row>
    <row r="99" spans="1:11">
      <c r="A99" s="5" t="s">
        <v>26</v>
      </c>
      <c r="B99" s="707" t="s">
        <v>91</v>
      </c>
      <c r="C99" s="136" t="s">
        <v>90</v>
      </c>
      <c r="D99" s="195">
        <v>2627</v>
      </c>
      <c r="E99" s="195">
        <v>2503</v>
      </c>
      <c r="F99" s="195">
        <v>2494</v>
      </c>
      <c r="G99" s="264">
        <f t="shared" si="19"/>
        <v>99.640431482221331</v>
      </c>
      <c r="H99" s="642">
        <v>3586</v>
      </c>
      <c r="I99" s="266">
        <v>7223</v>
      </c>
      <c r="J99" s="266">
        <v>7223</v>
      </c>
      <c r="K99" s="32">
        <f t="shared" si="15"/>
        <v>100</v>
      </c>
    </row>
    <row r="100" spans="1:11">
      <c r="A100" s="5" t="s">
        <v>27</v>
      </c>
      <c r="B100" s="6" t="s">
        <v>92</v>
      </c>
      <c r="C100" s="136" t="s">
        <v>90</v>
      </c>
      <c r="D100" s="195">
        <v>26</v>
      </c>
      <c r="E100" s="195">
        <v>35</v>
      </c>
      <c r="F100" s="195">
        <v>36</v>
      </c>
      <c r="G100" s="264">
        <f t="shared" si="19"/>
        <v>102.85714285714285</v>
      </c>
      <c r="H100" s="642">
        <v>1167</v>
      </c>
      <c r="I100" s="266">
        <v>1533</v>
      </c>
      <c r="J100" s="266">
        <v>1533</v>
      </c>
      <c r="K100" s="32"/>
    </row>
    <row r="101" spans="1:11">
      <c r="A101" s="5" t="s">
        <v>28</v>
      </c>
      <c r="B101" s="6" t="s">
        <v>94</v>
      </c>
      <c r="C101" s="136" t="s">
        <v>90</v>
      </c>
      <c r="D101" s="259">
        <v>18</v>
      </c>
      <c r="E101" s="195">
        <v>19</v>
      </c>
      <c r="F101" s="195">
        <v>20</v>
      </c>
      <c r="G101" s="586">
        <f>F101/E101*100</f>
        <v>105.26315789473684</v>
      </c>
      <c r="H101" s="643">
        <v>533</v>
      </c>
      <c r="I101" s="643">
        <v>740</v>
      </c>
      <c r="J101" s="643">
        <v>740</v>
      </c>
      <c r="K101" s="587">
        <f>J101/I101*100</f>
        <v>100</v>
      </c>
    </row>
    <row r="102" spans="1:11" ht="31.5">
      <c r="A102" s="203" t="s">
        <v>95</v>
      </c>
      <c r="B102" s="204" t="s">
        <v>96</v>
      </c>
      <c r="C102" s="205" t="s">
        <v>61</v>
      </c>
      <c r="D102" s="259">
        <f>D103+D104+D105</f>
        <v>2671</v>
      </c>
      <c r="E102" s="259">
        <f t="shared" ref="E102:F102" si="40">E103+E104+E105</f>
        <v>2557</v>
      </c>
      <c r="F102" s="259">
        <f t="shared" si="40"/>
        <v>2550</v>
      </c>
      <c r="G102" s="257">
        <f>F102/E102*100</f>
        <v>99.726241689479849</v>
      </c>
      <c r="H102" s="259">
        <f t="shared" ref="H102:J102" si="41">H103+H104+H105</f>
        <v>673564</v>
      </c>
      <c r="I102" s="259">
        <f t="shared" si="41"/>
        <v>733411</v>
      </c>
      <c r="J102" s="259">
        <f t="shared" si="41"/>
        <v>733411</v>
      </c>
      <c r="K102" s="587">
        <f>J102/I102*100</f>
        <v>100</v>
      </c>
    </row>
    <row r="103" spans="1:11">
      <c r="A103" s="5" t="s">
        <v>97</v>
      </c>
      <c r="B103" s="6" t="s">
        <v>98</v>
      </c>
      <c r="C103" s="136" t="s">
        <v>61</v>
      </c>
      <c r="D103" s="266">
        <v>465</v>
      </c>
      <c r="E103" s="195">
        <v>421</v>
      </c>
      <c r="F103" s="195">
        <v>428</v>
      </c>
      <c r="G103" s="264">
        <f t="shared" ref="G103:G118" si="42">F103/E103*100</f>
        <v>101.66270783847982</v>
      </c>
      <c r="H103" s="266">
        <v>112477</v>
      </c>
      <c r="I103" s="266">
        <v>128795</v>
      </c>
      <c r="J103" s="266">
        <v>128795</v>
      </c>
      <c r="K103" s="588">
        <f t="shared" ref="K103:K118" si="43">J103/I103*100</f>
        <v>100</v>
      </c>
    </row>
    <row r="104" spans="1:11">
      <c r="A104" s="5" t="s">
        <v>99</v>
      </c>
      <c r="B104" s="6" t="s">
        <v>100</v>
      </c>
      <c r="C104" s="136" t="s">
        <v>61</v>
      </c>
      <c r="D104" s="266">
        <v>1928</v>
      </c>
      <c r="E104" s="195">
        <v>1860</v>
      </c>
      <c r="F104" s="195">
        <v>1847</v>
      </c>
      <c r="G104" s="264">
        <f t="shared" si="42"/>
        <v>99.3010752688172</v>
      </c>
      <c r="H104" s="266">
        <v>384312</v>
      </c>
      <c r="I104" s="266">
        <v>399417</v>
      </c>
      <c r="J104" s="266">
        <v>399417</v>
      </c>
      <c r="K104" s="588">
        <f t="shared" si="43"/>
        <v>100</v>
      </c>
    </row>
    <row r="105" spans="1:11" ht="31.5">
      <c r="A105" s="5" t="s">
        <v>223</v>
      </c>
      <c r="B105" s="6" t="s">
        <v>102</v>
      </c>
      <c r="C105" s="136" t="s">
        <v>61</v>
      </c>
      <c r="D105" s="589">
        <v>278</v>
      </c>
      <c r="E105" s="195">
        <v>276</v>
      </c>
      <c r="F105" s="195">
        <v>275</v>
      </c>
      <c r="G105" s="264">
        <f t="shared" si="42"/>
        <v>99.637681159420282</v>
      </c>
      <c r="H105" s="266">
        <v>176775</v>
      </c>
      <c r="I105" s="266">
        <v>205199</v>
      </c>
      <c r="J105" s="266">
        <v>205199</v>
      </c>
      <c r="K105" s="588">
        <f t="shared" si="43"/>
        <v>100</v>
      </c>
    </row>
    <row r="106" spans="1:11" ht="31.5">
      <c r="A106" s="216" t="s">
        <v>8</v>
      </c>
      <c r="B106" s="204" t="s">
        <v>328</v>
      </c>
      <c r="C106" s="438" t="s">
        <v>112</v>
      </c>
      <c r="D106" s="706"/>
      <c r="E106" s="576"/>
      <c r="F106" s="576"/>
      <c r="G106" s="361"/>
      <c r="H106" s="644">
        <v>0</v>
      </c>
      <c r="I106" s="259">
        <v>1205</v>
      </c>
      <c r="J106" s="259">
        <v>1205</v>
      </c>
      <c r="K106" s="745">
        <f t="shared" si="43"/>
        <v>100</v>
      </c>
    </row>
    <row r="107" spans="1:11" ht="18.75">
      <c r="A107" s="788"/>
      <c r="B107" s="789" t="s">
        <v>110</v>
      </c>
      <c r="C107" s="790"/>
      <c r="D107" s="742">
        <f>SUM(D108:D112)</f>
        <v>424</v>
      </c>
      <c r="E107" s="742">
        <f>SUM(E108:E112)</f>
        <v>544</v>
      </c>
      <c r="F107" s="742">
        <f>SUM(F108:F112)</f>
        <v>544</v>
      </c>
      <c r="G107" s="791">
        <f t="shared" si="42"/>
        <v>100</v>
      </c>
      <c r="H107" s="742">
        <f>SUM(H108:H112)</f>
        <v>31106</v>
      </c>
      <c r="I107" s="742">
        <f>SUM(I108:I112)</f>
        <v>39349</v>
      </c>
      <c r="J107" s="742">
        <f>SUM(J108:J112)</f>
        <v>39349</v>
      </c>
      <c r="K107" s="792">
        <f t="shared" si="43"/>
        <v>100</v>
      </c>
    </row>
    <row r="108" spans="1:11" ht="31.5">
      <c r="A108" s="111" t="s">
        <v>4</v>
      </c>
      <c r="B108" s="2" t="s">
        <v>328</v>
      </c>
      <c r="C108" s="196" t="s">
        <v>112</v>
      </c>
      <c r="D108" s="589">
        <v>0</v>
      </c>
      <c r="E108" s="640">
        <v>120</v>
      </c>
      <c r="F108" s="640">
        <v>120</v>
      </c>
      <c r="G108" s="264">
        <f t="shared" si="42"/>
        <v>100</v>
      </c>
      <c r="H108" s="266">
        <v>0</v>
      </c>
      <c r="I108" s="266">
        <v>2353</v>
      </c>
      <c r="J108" s="266">
        <f>I108</f>
        <v>2353</v>
      </c>
      <c r="K108" s="588">
        <f t="shared" si="43"/>
        <v>100</v>
      </c>
    </row>
    <row r="109" spans="1:11">
      <c r="A109" s="111" t="s">
        <v>6</v>
      </c>
      <c r="B109" s="2" t="s">
        <v>113</v>
      </c>
      <c r="C109" s="196" t="s">
        <v>114</v>
      </c>
      <c r="D109" s="641">
        <v>96</v>
      </c>
      <c r="E109" s="640">
        <v>96</v>
      </c>
      <c r="F109" s="640">
        <v>96</v>
      </c>
      <c r="G109" s="264">
        <f t="shared" si="42"/>
        <v>100</v>
      </c>
      <c r="H109" s="266">
        <v>12431</v>
      </c>
      <c r="I109" s="266">
        <v>14011</v>
      </c>
      <c r="J109" s="266">
        <f>I109</f>
        <v>14011</v>
      </c>
      <c r="K109" s="588">
        <f t="shared" si="43"/>
        <v>100</v>
      </c>
    </row>
    <row r="110" spans="1:11" ht="78.75">
      <c r="A110" s="111" t="s">
        <v>8</v>
      </c>
      <c r="B110" s="52" t="s">
        <v>115</v>
      </c>
      <c r="C110" s="437" t="s">
        <v>116</v>
      </c>
      <c r="D110" s="641">
        <v>324</v>
      </c>
      <c r="E110" s="640">
        <v>324</v>
      </c>
      <c r="F110" s="640">
        <v>324</v>
      </c>
      <c r="G110" s="264">
        <f t="shared" si="42"/>
        <v>100</v>
      </c>
      <c r="H110" s="266">
        <v>16321</v>
      </c>
      <c r="I110" s="266">
        <v>20433</v>
      </c>
      <c r="J110" s="266">
        <f t="shared" ref="J110:J112" si="44">I110</f>
        <v>20433</v>
      </c>
      <c r="K110" s="588">
        <f t="shared" si="43"/>
        <v>100</v>
      </c>
    </row>
    <row r="111" spans="1:11" ht="63">
      <c r="A111" s="111" t="s">
        <v>18</v>
      </c>
      <c r="B111" s="52" t="s">
        <v>184</v>
      </c>
      <c r="C111" s="196" t="s">
        <v>117</v>
      </c>
      <c r="D111" s="641">
        <v>2</v>
      </c>
      <c r="E111" s="640">
        <v>2</v>
      </c>
      <c r="F111" s="640">
        <v>2</v>
      </c>
      <c r="G111" s="264">
        <f t="shared" si="42"/>
        <v>100</v>
      </c>
      <c r="H111" s="266">
        <v>1258</v>
      </c>
      <c r="I111" s="266">
        <v>1340</v>
      </c>
      <c r="J111" s="266">
        <f t="shared" si="44"/>
        <v>1340</v>
      </c>
      <c r="K111" s="588">
        <f t="shared" si="43"/>
        <v>100</v>
      </c>
    </row>
    <row r="112" spans="1:11" ht="78.75">
      <c r="A112" s="111" t="s">
        <v>21</v>
      </c>
      <c r="B112" s="52" t="s">
        <v>118</v>
      </c>
      <c r="C112" s="196" t="s">
        <v>117</v>
      </c>
      <c r="D112" s="641">
        <v>2</v>
      </c>
      <c r="E112" s="640">
        <v>2</v>
      </c>
      <c r="F112" s="640">
        <v>2</v>
      </c>
      <c r="G112" s="264">
        <f t="shared" si="42"/>
        <v>100</v>
      </c>
      <c r="H112" s="266">
        <v>1096</v>
      </c>
      <c r="I112" s="266">
        <v>1212</v>
      </c>
      <c r="J112" s="266">
        <f t="shared" si="44"/>
        <v>1212</v>
      </c>
      <c r="K112" s="588">
        <f t="shared" si="43"/>
        <v>100</v>
      </c>
    </row>
    <row r="113" spans="1:11" ht="18.75">
      <c r="A113" s="788"/>
      <c r="B113" s="789" t="s">
        <v>119</v>
      </c>
      <c r="C113" s="793"/>
      <c r="D113" s="742">
        <f>SUM(D114:D118)</f>
        <v>495</v>
      </c>
      <c r="E113" s="742">
        <f>SUM(E114:E118)</f>
        <v>518</v>
      </c>
      <c r="F113" s="742">
        <f>SUM(F114:F118)</f>
        <v>518</v>
      </c>
      <c r="G113" s="794">
        <f t="shared" si="42"/>
        <v>100</v>
      </c>
      <c r="H113" s="742">
        <f>SUM(H114:H118)</f>
        <v>29874</v>
      </c>
      <c r="I113" s="742">
        <f>SUM(I114:I118)</f>
        <v>26806</v>
      </c>
      <c r="J113" s="742">
        <f>SUM(J114:J118)</f>
        <v>26160</v>
      </c>
      <c r="K113" s="795">
        <f t="shared" si="43"/>
        <v>97.590091770499143</v>
      </c>
    </row>
    <row r="114" spans="1:11">
      <c r="A114" s="181" t="s">
        <v>4</v>
      </c>
      <c r="B114" s="80" t="s">
        <v>111</v>
      </c>
      <c r="C114" s="182" t="s">
        <v>9</v>
      </c>
      <c r="D114" s="589">
        <v>210</v>
      </c>
      <c r="E114" s="78">
        <v>233</v>
      </c>
      <c r="F114" s="78">
        <v>233</v>
      </c>
      <c r="G114" s="264">
        <f t="shared" si="42"/>
        <v>100</v>
      </c>
      <c r="H114" s="268">
        <v>12584</v>
      </c>
      <c r="I114" s="268">
        <v>11923</v>
      </c>
      <c r="J114" s="268">
        <v>11865</v>
      </c>
      <c r="K114" s="588">
        <f t="shared" si="43"/>
        <v>99.513545248679023</v>
      </c>
    </row>
    <row r="115" spans="1:11" ht="31.5">
      <c r="A115" s="181" t="s">
        <v>6</v>
      </c>
      <c r="B115" s="80" t="s">
        <v>120</v>
      </c>
      <c r="C115" s="185" t="s">
        <v>117</v>
      </c>
      <c r="D115" s="589">
        <v>4</v>
      </c>
      <c r="E115" s="78">
        <v>4</v>
      </c>
      <c r="F115" s="78">
        <v>4</v>
      </c>
      <c r="G115" s="264">
        <f t="shared" si="42"/>
        <v>100</v>
      </c>
      <c r="H115" s="268">
        <v>649</v>
      </c>
      <c r="I115" s="268">
        <v>559</v>
      </c>
      <c r="J115" s="268">
        <v>536</v>
      </c>
      <c r="K115" s="588">
        <f t="shared" si="43"/>
        <v>95.885509838998203</v>
      </c>
    </row>
    <row r="116" spans="1:11" ht="31.5">
      <c r="A116" s="181" t="s">
        <v>8</v>
      </c>
      <c r="B116" s="85" t="s">
        <v>121</v>
      </c>
      <c r="C116" s="186" t="s">
        <v>208</v>
      </c>
      <c r="D116" s="589">
        <v>9</v>
      </c>
      <c r="E116" s="640">
        <v>9</v>
      </c>
      <c r="F116" s="640">
        <v>9</v>
      </c>
      <c r="G116" s="264">
        <f t="shared" si="42"/>
        <v>100</v>
      </c>
      <c r="H116" s="268">
        <v>2959</v>
      </c>
      <c r="I116" s="268">
        <v>2546</v>
      </c>
      <c r="J116" s="268">
        <v>2446</v>
      </c>
      <c r="K116" s="588">
        <f t="shared" si="43"/>
        <v>96.072270227808332</v>
      </c>
    </row>
    <row r="117" spans="1:11" ht="47.25">
      <c r="A117" s="181" t="s">
        <v>18</v>
      </c>
      <c r="B117" s="85" t="s">
        <v>122</v>
      </c>
      <c r="C117" s="186" t="s">
        <v>114</v>
      </c>
      <c r="D117" s="589">
        <v>200</v>
      </c>
      <c r="E117" s="640">
        <v>200</v>
      </c>
      <c r="F117" s="640">
        <v>200</v>
      </c>
      <c r="G117" s="264">
        <f t="shared" si="42"/>
        <v>100</v>
      </c>
      <c r="H117" s="268">
        <v>5859</v>
      </c>
      <c r="I117" s="268">
        <v>5043</v>
      </c>
      <c r="J117" s="268">
        <v>4844</v>
      </c>
      <c r="K117" s="588">
        <f t="shared" si="43"/>
        <v>96.05393614911759</v>
      </c>
    </row>
    <row r="118" spans="1:11" ht="47.25">
      <c r="A118" s="181" t="s">
        <v>21</v>
      </c>
      <c r="B118" s="85" t="s">
        <v>123</v>
      </c>
      <c r="C118" s="186" t="s">
        <v>124</v>
      </c>
      <c r="D118" s="589">
        <v>72</v>
      </c>
      <c r="E118" s="640">
        <v>72</v>
      </c>
      <c r="F118" s="640">
        <v>72</v>
      </c>
      <c r="G118" s="264">
        <f t="shared" si="42"/>
        <v>100</v>
      </c>
      <c r="H118" s="268">
        <v>7823</v>
      </c>
      <c r="I118" s="268">
        <v>6735</v>
      </c>
      <c r="J118" s="268">
        <v>6469</v>
      </c>
      <c r="K118" s="588">
        <f t="shared" si="43"/>
        <v>96.050482553823315</v>
      </c>
    </row>
    <row r="119" spans="1:11">
      <c r="A119" s="181"/>
      <c r="B119" s="85"/>
      <c r="C119" s="186"/>
      <c r="D119" s="589"/>
      <c r="E119" s="640"/>
      <c r="F119" s="640"/>
      <c r="G119" s="264"/>
      <c r="H119" s="268"/>
      <c r="I119" s="268"/>
      <c r="J119" s="268"/>
      <c r="K119" s="588"/>
    </row>
    <row r="120" spans="1:11">
      <c r="A120" s="331"/>
      <c r="B120" s="274" t="s">
        <v>344</v>
      </c>
      <c r="C120" s="3" t="s">
        <v>322</v>
      </c>
      <c r="D120" s="34">
        <v>495</v>
      </c>
      <c r="E120" s="34">
        <v>661</v>
      </c>
      <c r="F120" s="34">
        <v>661</v>
      </c>
      <c r="G120" s="34">
        <v>200</v>
      </c>
      <c r="H120" s="34">
        <v>2799</v>
      </c>
      <c r="I120" s="34">
        <v>2855</v>
      </c>
      <c r="J120" s="796">
        <v>2855</v>
      </c>
      <c r="K120" s="34">
        <v>200</v>
      </c>
    </row>
    <row r="121" spans="1:11" ht="56.25">
      <c r="A121" s="181"/>
      <c r="B121" s="595" t="s">
        <v>262</v>
      </c>
      <c r="C121" s="186"/>
      <c r="D121" s="7"/>
      <c r="E121" s="112"/>
      <c r="F121" s="112"/>
      <c r="G121" s="131"/>
      <c r="H121" s="511">
        <f>128993+712</f>
        <v>129705</v>
      </c>
      <c r="I121" s="511">
        <v>525</v>
      </c>
      <c r="J121" s="515"/>
      <c r="K121" s="63"/>
    </row>
    <row r="122" spans="1:11" s="19" customFormat="1">
      <c r="A122" s="797"/>
      <c r="B122" s="798" t="s">
        <v>143</v>
      </c>
      <c r="C122" s="799"/>
      <c r="D122" s="800">
        <f>D52+D28+D24+D7</f>
        <v>505211</v>
      </c>
      <c r="E122" s="800">
        <f t="shared" ref="E122:F122" si="45">E52+E28+E24+E7</f>
        <v>502469</v>
      </c>
      <c r="F122" s="800">
        <f t="shared" si="45"/>
        <v>538428</v>
      </c>
      <c r="G122" s="801">
        <f>F122/E122*100</f>
        <v>107.15646139363821</v>
      </c>
      <c r="H122" s="800">
        <f>H52+H28+H24+H7</f>
        <v>2113002</v>
      </c>
      <c r="I122" s="800">
        <f t="shared" ref="I122:J122" si="46">I52+I28+I24+I7</f>
        <v>2093137</v>
      </c>
      <c r="J122" s="802">
        <f t="shared" si="46"/>
        <v>2083162</v>
      </c>
      <c r="K122" s="801">
        <f>J122/I122*100</f>
        <v>99.523442564915726</v>
      </c>
    </row>
    <row r="124" spans="1:11">
      <c r="B124" s="20" t="s">
        <v>364</v>
      </c>
      <c r="H124" s="804">
        <f>1680844+2520</f>
        <v>1683364</v>
      </c>
      <c r="I124" s="804">
        <f>1648448+2982.5+0.5</f>
        <v>1651431</v>
      </c>
      <c r="J124" s="804">
        <f>1639582+2980.5+0.5</f>
        <v>1642563</v>
      </c>
    </row>
    <row r="125" spans="1:11">
      <c r="B125" s="20" t="s">
        <v>365</v>
      </c>
      <c r="H125" s="805">
        <f>H124-H52</f>
        <v>0</v>
      </c>
      <c r="I125" s="805">
        <f>I124-I52</f>
        <v>0</v>
      </c>
      <c r="J125" s="805">
        <f>J124-J52</f>
        <v>0</v>
      </c>
    </row>
    <row r="126" spans="1:11">
      <c r="H126" s="804"/>
      <c r="I126" s="804"/>
      <c r="J126" s="804"/>
      <c r="K126" s="804"/>
    </row>
    <row r="127" spans="1:11">
      <c r="H127" s="804">
        <v>2113001</v>
      </c>
      <c r="I127" s="804">
        <v>2093138</v>
      </c>
      <c r="J127" s="804">
        <v>2083161</v>
      </c>
      <c r="K127" s="804"/>
    </row>
    <row r="129" spans="8:10" s="20" customFormat="1">
      <c r="H129" s="805">
        <f>H127-H122</f>
        <v>-1</v>
      </c>
      <c r="I129" s="805">
        <f t="shared" ref="I129:J129" si="47">I127-I122</f>
        <v>1</v>
      </c>
      <c r="J129" s="805">
        <f t="shared" si="47"/>
        <v>-1</v>
      </c>
    </row>
  </sheetData>
  <mergeCells count="10">
    <mergeCell ref="H21:H22"/>
    <mergeCell ref="I21:I22"/>
    <mergeCell ref="J21:J22"/>
    <mergeCell ref="K21:K22"/>
    <mergeCell ref="A1:G2"/>
    <mergeCell ref="A4:A5"/>
    <mergeCell ref="B4:B5"/>
    <mergeCell ref="C4:C5"/>
    <mergeCell ref="D4:G4"/>
    <mergeCell ref="H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4"/>
  <sheetViews>
    <sheetView topLeftCell="A262" zoomScale="90" zoomScaleNormal="90" workbookViewId="0">
      <selection activeCell="E187" sqref="E187"/>
    </sheetView>
  </sheetViews>
  <sheetFormatPr defaultColWidth="8" defaultRowHeight="15.75"/>
  <cols>
    <col min="1" max="1" width="3" style="20" customWidth="1"/>
    <col min="2" max="2" width="7" style="75" customWidth="1"/>
    <col min="3" max="3" width="82.85546875" style="20" customWidth="1"/>
    <col min="4" max="4" width="22.42578125" style="107" customWidth="1"/>
    <col min="5" max="5" width="16.5703125" style="20" customWidth="1"/>
    <col min="6" max="6" width="17.85546875" style="20" customWidth="1"/>
    <col min="7" max="7" width="15.140625" style="21" customWidth="1"/>
    <col min="8" max="8" width="35.5703125" style="22" customWidth="1"/>
    <col min="9" max="9" width="16.28515625" style="20" customWidth="1"/>
    <col min="10" max="10" width="28.28515625" style="20" customWidth="1"/>
    <col min="11" max="16384" width="8" style="20"/>
  </cols>
  <sheetData>
    <row r="1" spans="2:8" s="19" customFormat="1" ht="15.75" customHeight="1">
      <c r="B1" s="830" t="s">
        <v>59</v>
      </c>
      <c r="C1" s="830"/>
      <c r="D1" s="830"/>
      <c r="E1" s="830"/>
      <c r="F1" s="830"/>
      <c r="G1" s="830"/>
      <c r="H1" s="830"/>
    </row>
    <row r="2" spans="2:8" s="19" customFormat="1" ht="16.5" customHeight="1">
      <c r="B2" s="830"/>
      <c r="C2" s="830"/>
      <c r="D2" s="830"/>
      <c r="E2" s="830"/>
      <c r="F2" s="830"/>
      <c r="G2" s="830"/>
      <c r="H2" s="830"/>
    </row>
    <row r="4" spans="2:8" ht="63">
      <c r="B4" s="70" t="s">
        <v>0</v>
      </c>
      <c r="C4" s="23" t="s">
        <v>1</v>
      </c>
      <c r="D4" s="122" t="s">
        <v>2</v>
      </c>
      <c r="E4" s="23" t="s">
        <v>41</v>
      </c>
      <c r="F4" s="24" t="s">
        <v>58</v>
      </c>
      <c r="G4" s="25" t="s">
        <v>33</v>
      </c>
      <c r="H4" s="26" t="s">
        <v>3</v>
      </c>
    </row>
    <row r="5" spans="2:8">
      <c r="B5" s="71">
        <v>1</v>
      </c>
      <c r="C5" s="27">
        <v>2</v>
      </c>
      <c r="D5" s="99">
        <v>3</v>
      </c>
      <c r="E5" s="28">
        <v>4</v>
      </c>
      <c r="F5" s="28">
        <v>5</v>
      </c>
      <c r="G5" s="3">
        <v>6</v>
      </c>
      <c r="H5" s="29">
        <v>7</v>
      </c>
    </row>
    <row r="6" spans="2:8" s="11" customFormat="1">
      <c r="B6" s="72" t="s">
        <v>4</v>
      </c>
      <c r="C6" s="13" t="s">
        <v>152</v>
      </c>
      <c r="D6" s="100"/>
      <c r="E6" s="14">
        <f>E7+E14</f>
        <v>178361</v>
      </c>
      <c r="F6" s="14">
        <f>F7+F14</f>
        <v>90909</v>
      </c>
      <c r="G6" s="15">
        <f t="shared" ref="G6:G20" si="0">F6/E6*100</f>
        <v>50.969101989784761</v>
      </c>
      <c r="H6" s="89"/>
    </row>
    <row r="7" spans="2:8" ht="31.5">
      <c r="B7" s="1" t="s">
        <v>4</v>
      </c>
      <c r="C7" s="2" t="s">
        <v>153</v>
      </c>
      <c r="D7" s="94" t="s">
        <v>5</v>
      </c>
      <c r="E7" s="4">
        <f>SUM(E8:E13)</f>
        <v>178151</v>
      </c>
      <c r="F7" s="4">
        <f>SUM(F8:F13)</f>
        <v>90804</v>
      </c>
      <c r="G7" s="9">
        <f t="shared" si="0"/>
        <v>50.97024434328182</v>
      </c>
      <c r="H7" s="113"/>
    </row>
    <row r="8" spans="2:8">
      <c r="B8" s="5" t="s">
        <v>26</v>
      </c>
      <c r="C8" s="6" t="s">
        <v>154</v>
      </c>
      <c r="D8" s="94" t="s">
        <v>5</v>
      </c>
      <c r="E8" s="7">
        <v>23592</v>
      </c>
      <c r="F8" s="7">
        <v>11243</v>
      </c>
      <c r="G8" s="9">
        <f t="shared" si="0"/>
        <v>47.65598507968803</v>
      </c>
      <c r="H8" s="8"/>
    </row>
    <row r="9" spans="2:8">
      <c r="B9" s="5" t="s">
        <v>27</v>
      </c>
      <c r="C9" s="6" t="s">
        <v>155</v>
      </c>
      <c r="D9" s="94" t="s">
        <v>5</v>
      </c>
      <c r="E9" s="7">
        <v>22582</v>
      </c>
      <c r="F9" s="7">
        <v>11735</v>
      </c>
      <c r="G9" s="10">
        <f t="shared" si="0"/>
        <v>51.96616774422106</v>
      </c>
      <c r="H9" s="8"/>
    </row>
    <row r="10" spans="2:8">
      <c r="B10" s="5" t="s">
        <v>28</v>
      </c>
      <c r="C10" s="6" t="s">
        <v>156</v>
      </c>
      <c r="D10" s="94" t="s">
        <v>5</v>
      </c>
      <c r="E10" s="7">
        <v>12056</v>
      </c>
      <c r="F10" s="7">
        <v>6030</v>
      </c>
      <c r="G10" s="10">
        <f t="shared" si="0"/>
        <v>50.016589250165886</v>
      </c>
      <c r="H10" s="8"/>
    </row>
    <row r="11" spans="2:8">
      <c r="B11" s="5" t="s">
        <v>29</v>
      </c>
      <c r="C11" s="6" t="s">
        <v>157</v>
      </c>
      <c r="D11" s="94" t="s">
        <v>5</v>
      </c>
      <c r="E11" s="7">
        <v>49616</v>
      </c>
      <c r="F11" s="7">
        <v>25128</v>
      </c>
      <c r="G11" s="10">
        <f t="shared" si="0"/>
        <v>50.644953240890032</v>
      </c>
      <c r="H11" s="8"/>
    </row>
    <row r="12" spans="2:8">
      <c r="B12" s="5" t="s">
        <v>30</v>
      </c>
      <c r="C12" s="6" t="s">
        <v>158</v>
      </c>
      <c r="D12" s="94" t="s">
        <v>5</v>
      </c>
      <c r="E12" s="7">
        <v>6240</v>
      </c>
      <c r="F12" s="7">
        <v>3123</v>
      </c>
      <c r="G12" s="10">
        <f t="shared" si="0"/>
        <v>50.04807692307692</v>
      </c>
      <c r="H12" s="114"/>
    </row>
    <row r="13" spans="2:8">
      <c r="B13" s="5" t="s">
        <v>32</v>
      </c>
      <c r="C13" s="6" t="s">
        <v>159</v>
      </c>
      <c r="D13" s="94" t="s">
        <v>5</v>
      </c>
      <c r="E13" s="115">
        <v>64065</v>
      </c>
      <c r="F13" s="115">
        <v>33545</v>
      </c>
      <c r="G13" s="116">
        <f t="shared" si="0"/>
        <v>52.360883477717948</v>
      </c>
      <c r="H13" s="8"/>
    </row>
    <row r="14" spans="2:8">
      <c r="B14" s="1" t="s">
        <v>6</v>
      </c>
      <c r="C14" s="2" t="s">
        <v>31</v>
      </c>
      <c r="D14" s="94" t="s">
        <v>9</v>
      </c>
      <c r="E14" s="117">
        <v>210</v>
      </c>
      <c r="F14" s="117">
        <v>105</v>
      </c>
      <c r="G14" s="9">
        <f t="shared" si="0"/>
        <v>50</v>
      </c>
      <c r="H14" s="8"/>
    </row>
    <row r="15" spans="2:8" s="11" customFormat="1">
      <c r="B15" s="109" t="s">
        <v>6</v>
      </c>
      <c r="C15" s="90" t="s">
        <v>160</v>
      </c>
      <c r="D15" s="101"/>
      <c r="E15" s="91">
        <f>E16+E17+E18+E19+E20</f>
        <v>37668</v>
      </c>
      <c r="F15" s="91">
        <f>F16+F17+F18+F19+F20</f>
        <v>19923</v>
      </c>
      <c r="G15" s="92">
        <f t="shared" si="0"/>
        <v>52.89104810449188</v>
      </c>
      <c r="H15" s="93"/>
    </row>
    <row r="16" spans="2:8" s="11" customFormat="1" ht="31.5">
      <c r="B16" s="79" t="s">
        <v>4</v>
      </c>
      <c r="C16" s="80" t="s">
        <v>161</v>
      </c>
      <c r="D16" s="108" t="s">
        <v>162</v>
      </c>
      <c r="E16" s="118">
        <v>15</v>
      </c>
      <c r="F16" s="118">
        <v>25</v>
      </c>
      <c r="G16" s="81">
        <f t="shared" si="0"/>
        <v>166.66666666666669</v>
      </c>
      <c r="H16" s="119" t="s">
        <v>163</v>
      </c>
    </row>
    <row r="17" spans="2:8" s="11" customFormat="1" ht="31.5">
      <c r="B17" s="82" t="s">
        <v>6</v>
      </c>
      <c r="C17" s="83" t="s">
        <v>164</v>
      </c>
      <c r="D17" s="108" t="s">
        <v>165</v>
      </c>
      <c r="E17" s="118">
        <v>37600</v>
      </c>
      <c r="F17" s="118">
        <v>19850</v>
      </c>
      <c r="G17" s="81">
        <f t="shared" si="0"/>
        <v>52.792553191489368</v>
      </c>
      <c r="H17" s="119" t="s">
        <v>163</v>
      </c>
    </row>
    <row r="18" spans="2:8" s="11" customFormat="1" ht="31.5">
      <c r="B18" s="79" t="s">
        <v>8</v>
      </c>
      <c r="C18" s="84" t="s">
        <v>166</v>
      </c>
      <c r="D18" s="108" t="s">
        <v>167</v>
      </c>
      <c r="E18" s="118">
        <v>23</v>
      </c>
      <c r="F18" s="118">
        <v>24</v>
      </c>
      <c r="G18" s="81">
        <f t="shared" si="0"/>
        <v>104.34782608695652</v>
      </c>
      <c r="H18" s="119" t="s">
        <v>163</v>
      </c>
    </row>
    <row r="19" spans="2:8" s="11" customFormat="1" ht="47.25">
      <c r="B19" s="79" t="s">
        <v>18</v>
      </c>
      <c r="C19" s="84" t="s">
        <v>168</v>
      </c>
      <c r="D19" s="108" t="s">
        <v>185</v>
      </c>
      <c r="E19" s="118">
        <v>20</v>
      </c>
      <c r="F19" s="118">
        <v>8</v>
      </c>
      <c r="G19" s="81">
        <f t="shared" si="0"/>
        <v>40</v>
      </c>
      <c r="H19" s="119" t="s">
        <v>163</v>
      </c>
    </row>
    <row r="20" spans="2:8" s="11" customFormat="1" ht="47.25">
      <c r="B20" s="79" t="s">
        <v>21</v>
      </c>
      <c r="C20" s="84" t="s">
        <v>168</v>
      </c>
      <c r="D20" s="108" t="s">
        <v>186</v>
      </c>
      <c r="E20" s="118">
        <v>10</v>
      </c>
      <c r="F20" s="118">
        <v>16</v>
      </c>
      <c r="G20" s="81">
        <f t="shared" si="0"/>
        <v>160</v>
      </c>
      <c r="H20" s="119" t="s">
        <v>163</v>
      </c>
    </row>
    <row r="21" spans="2:8" s="11" customFormat="1">
      <c r="B21" s="72" t="s">
        <v>8</v>
      </c>
      <c r="C21" s="13" t="s">
        <v>169</v>
      </c>
      <c r="D21" s="102"/>
      <c r="E21" s="87">
        <f>E22</f>
        <v>59160</v>
      </c>
      <c r="F21" s="87">
        <f>F22</f>
        <v>27840</v>
      </c>
      <c r="G21" s="15">
        <f>F21/E21*100</f>
        <v>47.058823529411761</v>
      </c>
      <c r="H21" s="88"/>
    </row>
    <row r="22" spans="2:8" s="12" customFormat="1" ht="26.25">
      <c r="B22" s="79" t="s">
        <v>4</v>
      </c>
      <c r="C22" s="85" t="s">
        <v>170</v>
      </c>
      <c r="D22" s="108" t="s">
        <v>171</v>
      </c>
      <c r="E22" s="120">
        <v>59160</v>
      </c>
      <c r="F22" s="120">
        <v>27840</v>
      </c>
      <c r="G22" s="86">
        <f t="shared" ref="G22" si="1">F22/E22*100</f>
        <v>47.058823529411761</v>
      </c>
      <c r="H22" s="121"/>
    </row>
    <row r="23" spans="2:8" s="19" customFormat="1">
      <c r="B23" s="72" t="s">
        <v>18</v>
      </c>
      <c r="C23" s="13" t="s">
        <v>34</v>
      </c>
      <c r="D23" s="100"/>
      <c r="E23" s="14">
        <f>E24</f>
        <v>35346</v>
      </c>
      <c r="F23" s="14">
        <f>F24</f>
        <v>35346</v>
      </c>
      <c r="G23" s="15">
        <f t="shared" ref="G23:G31" si="2">F23/E23*100</f>
        <v>100</v>
      </c>
      <c r="H23" s="56"/>
    </row>
    <row r="24" spans="2:8" ht="31.5">
      <c r="B24" s="1" t="s">
        <v>4</v>
      </c>
      <c r="C24" s="2" t="s">
        <v>10</v>
      </c>
      <c r="D24" s="94"/>
      <c r="E24" s="4">
        <f>SUM(E25:E29)</f>
        <v>35346</v>
      </c>
      <c r="F24" s="4">
        <f>SUM(F25:F29)</f>
        <v>35346</v>
      </c>
      <c r="G24" s="9">
        <f t="shared" si="2"/>
        <v>100</v>
      </c>
      <c r="H24" s="8"/>
    </row>
    <row r="25" spans="2:8">
      <c r="B25" s="5" t="s">
        <v>26</v>
      </c>
      <c r="C25" s="6" t="s">
        <v>11</v>
      </c>
      <c r="D25" s="94" t="s">
        <v>5</v>
      </c>
      <c r="E25" s="7">
        <v>1278</v>
      </c>
      <c r="F25" s="7">
        <v>1278</v>
      </c>
      <c r="G25" s="10">
        <f t="shared" si="2"/>
        <v>100</v>
      </c>
      <c r="H25" s="17"/>
    </row>
    <row r="26" spans="2:8">
      <c r="B26" s="5" t="s">
        <v>27</v>
      </c>
      <c r="C26" s="6" t="s">
        <v>13</v>
      </c>
      <c r="D26" s="94" t="s">
        <v>5</v>
      </c>
      <c r="E26" s="7">
        <v>5337</v>
      </c>
      <c r="F26" s="7">
        <v>5337</v>
      </c>
      <c r="G26" s="10">
        <f t="shared" si="2"/>
        <v>100</v>
      </c>
      <c r="H26" s="8"/>
    </row>
    <row r="27" spans="2:8">
      <c r="B27" s="5" t="s">
        <v>28</v>
      </c>
      <c r="C27" s="6" t="s">
        <v>15</v>
      </c>
      <c r="D27" s="94" t="s">
        <v>5</v>
      </c>
      <c r="E27" s="7">
        <v>8769</v>
      </c>
      <c r="F27" s="7">
        <v>8769</v>
      </c>
      <c r="G27" s="10">
        <f t="shared" si="2"/>
        <v>100</v>
      </c>
      <c r="H27" s="17"/>
    </row>
    <row r="28" spans="2:8">
      <c r="B28" s="5" t="s">
        <v>29</v>
      </c>
      <c r="C28" s="6" t="s">
        <v>17</v>
      </c>
      <c r="D28" s="94" t="s">
        <v>5</v>
      </c>
      <c r="E28" s="7">
        <v>12642</v>
      </c>
      <c r="F28" s="7">
        <v>12642</v>
      </c>
      <c r="G28" s="10">
        <f t="shared" si="2"/>
        <v>100</v>
      </c>
      <c r="H28" s="8"/>
    </row>
    <row r="29" spans="2:8">
      <c r="B29" s="5" t="s">
        <v>30</v>
      </c>
      <c r="C29" s="6" t="s">
        <v>23</v>
      </c>
      <c r="D29" s="94" t="s">
        <v>5</v>
      </c>
      <c r="E29" s="7">
        <v>7320</v>
      </c>
      <c r="F29" s="7">
        <v>7320</v>
      </c>
      <c r="G29" s="10">
        <f>F29/E29*100</f>
        <v>100</v>
      </c>
      <c r="H29" s="8"/>
    </row>
    <row r="30" spans="2:8" s="19" customFormat="1">
      <c r="B30" s="72" t="s">
        <v>145</v>
      </c>
      <c r="C30" s="13" t="s">
        <v>39</v>
      </c>
      <c r="D30" s="100"/>
      <c r="E30" s="14">
        <f>E31+E39+E44+E45+E46+E47+E48+E49</f>
        <v>1942</v>
      </c>
      <c r="F30" s="14">
        <f>F31+F39+F44+F45+F46+F47+F48+F49</f>
        <v>1785</v>
      </c>
      <c r="G30" s="15">
        <f t="shared" si="2"/>
        <v>91.915550978372806</v>
      </c>
      <c r="H30" s="56"/>
    </row>
    <row r="31" spans="2:8">
      <c r="B31" s="1" t="s">
        <v>4</v>
      </c>
      <c r="C31" s="2" t="s">
        <v>42</v>
      </c>
      <c r="D31" s="94" t="s">
        <v>9</v>
      </c>
      <c r="E31" s="4">
        <f>SUM(E32:E38)</f>
        <v>774</v>
      </c>
      <c r="F31" s="4">
        <f>SUM(F32:F38)</f>
        <v>946</v>
      </c>
      <c r="G31" s="9">
        <f t="shared" si="2"/>
        <v>122.22222222222223</v>
      </c>
      <c r="H31" s="8"/>
    </row>
    <row r="32" spans="2:8">
      <c r="B32" s="5" t="s">
        <v>26</v>
      </c>
      <c r="C32" s="6" t="s">
        <v>43</v>
      </c>
      <c r="D32" s="94" t="s">
        <v>44</v>
      </c>
      <c r="E32" s="7">
        <f>180+36</f>
        <v>216</v>
      </c>
      <c r="F32" s="7">
        <f>252+43</f>
        <v>295</v>
      </c>
      <c r="G32" s="10">
        <f>F32/E32*100</f>
        <v>136.57407407407408</v>
      </c>
      <c r="H32" s="8"/>
    </row>
    <row r="33" spans="2:8">
      <c r="B33" s="5" t="s">
        <v>27</v>
      </c>
      <c r="C33" s="6" t="s">
        <v>45</v>
      </c>
      <c r="D33" s="94" t="s">
        <v>44</v>
      </c>
      <c r="E33" s="7">
        <f>154+60</f>
        <v>214</v>
      </c>
      <c r="F33" s="7">
        <f>178+84</f>
        <v>262</v>
      </c>
      <c r="G33" s="10">
        <f>F33/E33*100</f>
        <v>122.42990654205607</v>
      </c>
      <c r="H33" s="8"/>
    </row>
    <row r="34" spans="2:8">
      <c r="B34" s="5" t="s">
        <v>28</v>
      </c>
      <c r="C34" s="6" t="s">
        <v>46</v>
      </c>
      <c r="D34" s="94" t="s">
        <v>44</v>
      </c>
      <c r="E34" s="7">
        <f>50+24</f>
        <v>74</v>
      </c>
      <c r="F34" s="7">
        <f>72+24</f>
        <v>96</v>
      </c>
      <c r="G34" s="10">
        <f>F34/E34*100</f>
        <v>129.72972972972974</v>
      </c>
      <c r="H34" s="18"/>
    </row>
    <row r="35" spans="2:8">
      <c r="B35" s="5" t="s">
        <v>29</v>
      </c>
      <c r="C35" s="6" t="s">
        <v>48</v>
      </c>
      <c r="D35" s="94" t="s">
        <v>44</v>
      </c>
      <c r="E35" s="7">
        <f>60+18</f>
        <v>78</v>
      </c>
      <c r="F35" s="7">
        <f>70+18</f>
        <v>88</v>
      </c>
      <c r="G35" s="10">
        <f t="shared" ref="G35:G39" si="3">F35/E35*100</f>
        <v>112.82051282051282</v>
      </c>
      <c r="H35" s="18"/>
    </row>
    <row r="36" spans="2:8">
      <c r="B36" s="5" t="s">
        <v>30</v>
      </c>
      <c r="C36" s="6" t="s">
        <v>49</v>
      </c>
      <c r="D36" s="94" t="s">
        <v>44</v>
      </c>
      <c r="E36" s="7">
        <f>36+20</f>
        <v>56</v>
      </c>
      <c r="F36" s="7">
        <f>50+17</f>
        <v>67</v>
      </c>
      <c r="G36" s="10">
        <f t="shared" si="3"/>
        <v>119.64285714285714</v>
      </c>
      <c r="H36" s="18"/>
    </row>
    <row r="37" spans="2:8">
      <c r="B37" s="5" t="s">
        <v>32</v>
      </c>
      <c r="C37" s="6" t="s">
        <v>50</v>
      </c>
      <c r="D37" s="94" t="s">
        <v>44</v>
      </c>
      <c r="E37" s="7">
        <f>70+10</f>
        <v>80</v>
      </c>
      <c r="F37" s="7">
        <f>69+13</f>
        <v>82</v>
      </c>
      <c r="G37" s="10">
        <f t="shared" si="3"/>
        <v>102.49999999999999</v>
      </c>
      <c r="H37" s="18"/>
    </row>
    <row r="38" spans="2:8">
      <c r="B38" s="5" t="s">
        <v>47</v>
      </c>
      <c r="C38" s="6" t="s">
        <v>51</v>
      </c>
      <c r="D38" s="94" t="s">
        <v>44</v>
      </c>
      <c r="E38" s="7">
        <v>56</v>
      </c>
      <c r="F38" s="7">
        <v>56</v>
      </c>
      <c r="G38" s="10">
        <f t="shared" si="3"/>
        <v>100</v>
      </c>
      <c r="H38" s="18"/>
    </row>
    <row r="39" spans="2:8">
      <c r="B39" s="1" t="s">
        <v>6</v>
      </c>
      <c r="C39" s="2" t="s">
        <v>52</v>
      </c>
      <c r="D39" s="94" t="s">
        <v>9</v>
      </c>
      <c r="E39" s="4">
        <f>SUM(E40:E43)</f>
        <v>192</v>
      </c>
      <c r="F39" s="4">
        <f>SUM(F40:F43)</f>
        <v>295</v>
      </c>
      <c r="G39" s="9">
        <f t="shared" si="3"/>
        <v>153.64583333333331</v>
      </c>
      <c r="H39" s="8"/>
    </row>
    <row r="40" spans="2:8">
      <c r="B40" s="5" t="s">
        <v>7</v>
      </c>
      <c r="C40" s="6" t="s">
        <v>53</v>
      </c>
      <c r="D40" s="94" t="s">
        <v>44</v>
      </c>
      <c r="E40" s="7">
        <f>96+30</f>
        <v>126</v>
      </c>
      <c r="F40" s="7">
        <f>129+50</f>
        <v>179</v>
      </c>
      <c r="G40" s="10">
        <f>F40/E40*100</f>
        <v>142.06349206349208</v>
      </c>
      <c r="H40" s="8"/>
    </row>
    <row r="41" spans="2:8">
      <c r="B41" s="5" t="s">
        <v>12</v>
      </c>
      <c r="C41" s="6" t="s">
        <v>54</v>
      </c>
      <c r="D41" s="94" t="s">
        <v>44</v>
      </c>
      <c r="E41" s="7">
        <f>10+16</f>
        <v>26</v>
      </c>
      <c r="F41" s="7">
        <f>21+23</f>
        <v>44</v>
      </c>
      <c r="G41" s="10">
        <f>F41/E41*100</f>
        <v>169.23076923076923</v>
      </c>
      <c r="H41" s="8"/>
    </row>
    <row r="42" spans="2:8">
      <c r="B42" s="5" t="s">
        <v>14</v>
      </c>
      <c r="C42" s="6" t="s">
        <v>55</v>
      </c>
      <c r="D42" s="94" t="s">
        <v>44</v>
      </c>
      <c r="E42" s="7">
        <f>10+6</f>
        <v>16</v>
      </c>
      <c r="F42" s="7">
        <f>22+10</f>
        <v>32</v>
      </c>
      <c r="G42" s="10">
        <f>F42/E42*100</f>
        <v>200</v>
      </c>
      <c r="H42" s="18"/>
    </row>
    <row r="43" spans="2:8">
      <c r="B43" s="5" t="s">
        <v>16</v>
      </c>
      <c r="C43" s="6" t="s">
        <v>56</v>
      </c>
      <c r="D43" s="94" t="s">
        <v>44</v>
      </c>
      <c r="E43" s="7">
        <v>24</v>
      </c>
      <c r="F43" s="7">
        <v>40</v>
      </c>
      <c r="G43" s="10">
        <f t="shared" ref="G43:G80" si="4">F43/E43*100</f>
        <v>166.66666666666669</v>
      </c>
      <c r="H43" s="18"/>
    </row>
    <row r="44" spans="2:8">
      <c r="B44" s="1" t="s">
        <v>8</v>
      </c>
      <c r="C44" s="2" t="s">
        <v>31</v>
      </c>
      <c r="D44" s="94" t="s">
        <v>9</v>
      </c>
      <c r="E44" s="4">
        <v>515</v>
      </c>
      <c r="F44" s="4">
        <v>385</v>
      </c>
      <c r="G44" s="9">
        <f t="shared" si="4"/>
        <v>74.757281553398059</v>
      </c>
      <c r="H44" s="18"/>
    </row>
    <row r="45" spans="2:8" ht="31.5">
      <c r="B45" s="1" t="s">
        <v>18</v>
      </c>
      <c r="C45" s="2" t="s">
        <v>19</v>
      </c>
      <c r="D45" s="95" t="s">
        <v>20</v>
      </c>
      <c r="E45" s="4">
        <v>104</v>
      </c>
      <c r="F45" s="4">
        <v>28</v>
      </c>
      <c r="G45" s="9">
        <f t="shared" si="4"/>
        <v>26.923076923076923</v>
      </c>
      <c r="H45" s="8"/>
    </row>
    <row r="46" spans="2:8" ht="26.25">
      <c r="B46" s="1" t="s">
        <v>21</v>
      </c>
      <c r="C46" s="2" t="s">
        <v>22</v>
      </c>
      <c r="D46" s="95" t="s">
        <v>25</v>
      </c>
      <c r="E46" s="4">
        <v>13</v>
      </c>
      <c r="F46" s="4">
        <v>4</v>
      </c>
      <c r="G46" s="9">
        <f t="shared" si="4"/>
        <v>30.76923076923077</v>
      </c>
      <c r="H46" s="8"/>
    </row>
    <row r="47" spans="2:8" ht="31.5">
      <c r="B47" s="1" t="s">
        <v>24</v>
      </c>
      <c r="C47" s="2" t="s">
        <v>40</v>
      </c>
      <c r="D47" s="95" t="s">
        <v>25</v>
      </c>
      <c r="E47" s="4">
        <v>231</v>
      </c>
      <c r="F47" s="4">
        <v>75</v>
      </c>
      <c r="G47" s="9">
        <f t="shared" si="4"/>
        <v>32.467532467532465</v>
      </c>
      <c r="H47" s="8"/>
    </row>
    <row r="48" spans="2:8" ht="63">
      <c r="B48" s="1" t="s">
        <v>35</v>
      </c>
      <c r="C48" s="2" t="s">
        <v>37</v>
      </c>
      <c r="D48" s="95" t="s">
        <v>20</v>
      </c>
      <c r="E48" s="4">
        <v>3</v>
      </c>
      <c r="F48" s="4">
        <v>5</v>
      </c>
      <c r="G48" s="9">
        <f t="shared" si="4"/>
        <v>166.66666666666669</v>
      </c>
      <c r="H48" s="8"/>
    </row>
    <row r="49" spans="1:9" ht="31.5">
      <c r="B49" s="1" t="s">
        <v>57</v>
      </c>
      <c r="C49" s="2" t="s">
        <v>38</v>
      </c>
      <c r="D49" s="95" t="s">
        <v>36</v>
      </c>
      <c r="E49" s="4">
        <v>110</v>
      </c>
      <c r="F49" s="4">
        <v>47</v>
      </c>
      <c r="G49" s="9">
        <f t="shared" si="4"/>
        <v>42.727272727272727</v>
      </c>
      <c r="H49" s="8"/>
    </row>
    <row r="50" spans="1:9" s="19" customFormat="1">
      <c r="A50" s="30"/>
      <c r="B50" s="72" t="s">
        <v>21</v>
      </c>
      <c r="C50" s="13" t="s">
        <v>60</v>
      </c>
      <c r="D50" s="103"/>
      <c r="E50" s="14">
        <f>E51+E55+E60+E63+E75</f>
        <v>2365</v>
      </c>
      <c r="F50" s="14">
        <f>F51+F55+F60+F63+F75</f>
        <v>2341</v>
      </c>
      <c r="G50" s="15">
        <f t="shared" si="4"/>
        <v>98.985200845665972</v>
      </c>
      <c r="H50" s="55"/>
    </row>
    <row r="51" spans="1:9" ht="31.5">
      <c r="A51" s="43"/>
      <c r="B51" s="1" t="s">
        <v>4</v>
      </c>
      <c r="C51" s="2" t="s">
        <v>125</v>
      </c>
      <c r="D51" s="96" t="s">
        <v>61</v>
      </c>
      <c r="E51" s="61">
        <f>SUM(E52:E54)</f>
        <v>501</v>
      </c>
      <c r="F51" s="61">
        <f>SUM(F52:F54)</f>
        <v>494</v>
      </c>
      <c r="G51" s="51">
        <f t="shared" si="4"/>
        <v>98.602794411177641</v>
      </c>
      <c r="H51" s="62"/>
    </row>
    <row r="52" spans="1:9" ht="47.25">
      <c r="A52" s="43"/>
      <c r="B52" s="5" t="s">
        <v>27</v>
      </c>
      <c r="C52" s="6" t="s">
        <v>126</v>
      </c>
      <c r="D52" s="95" t="s">
        <v>61</v>
      </c>
      <c r="E52" s="31">
        <v>11</v>
      </c>
      <c r="F52" s="31">
        <v>11</v>
      </c>
      <c r="G52" s="32">
        <f t="shared" si="4"/>
        <v>100</v>
      </c>
      <c r="H52" s="33"/>
    </row>
    <row r="53" spans="1:9">
      <c r="A53" s="43"/>
      <c r="B53" s="5" t="s">
        <v>28</v>
      </c>
      <c r="C53" s="6" t="s">
        <v>128</v>
      </c>
      <c r="D53" s="95" t="s">
        <v>61</v>
      </c>
      <c r="E53" s="31">
        <v>488</v>
      </c>
      <c r="F53" s="31">
        <v>481</v>
      </c>
      <c r="G53" s="32">
        <f>F53/E53*100</f>
        <v>98.565573770491795</v>
      </c>
      <c r="H53" s="35"/>
    </row>
    <row r="54" spans="1:9">
      <c r="A54" s="43"/>
      <c r="B54" s="5" t="s">
        <v>29</v>
      </c>
      <c r="C54" s="6" t="s">
        <v>129</v>
      </c>
      <c r="D54" s="95" t="s">
        <v>61</v>
      </c>
      <c r="E54" s="31">
        <v>2</v>
      </c>
      <c r="F54" s="31">
        <v>2</v>
      </c>
      <c r="G54" s="32">
        <f t="shared" si="4"/>
        <v>100</v>
      </c>
      <c r="H54" s="33"/>
    </row>
    <row r="55" spans="1:9" ht="31.5">
      <c r="A55" s="43"/>
      <c r="B55" s="1" t="s">
        <v>6</v>
      </c>
      <c r="C55" s="2" t="s">
        <v>130</v>
      </c>
      <c r="D55" s="95" t="s">
        <v>61</v>
      </c>
      <c r="E55" s="34">
        <f>SUM(E56:E59)</f>
        <v>533</v>
      </c>
      <c r="F55" s="34">
        <f>SUM(F56:F59)</f>
        <v>529</v>
      </c>
      <c r="G55" s="32">
        <f t="shared" si="4"/>
        <v>99.249530956848034</v>
      </c>
      <c r="H55" s="33"/>
    </row>
    <row r="56" spans="1:9" ht="47.25">
      <c r="A56" s="43"/>
      <c r="B56" s="5" t="s">
        <v>7</v>
      </c>
      <c r="C56" s="6" t="s">
        <v>131</v>
      </c>
      <c r="D56" s="95" t="s">
        <v>61</v>
      </c>
      <c r="E56" s="31">
        <v>8</v>
      </c>
      <c r="F56" s="31">
        <v>8</v>
      </c>
      <c r="G56" s="32">
        <f>F56/E56*100</f>
        <v>100</v>
      </c>
      <c r="H56" s="36"/>
    </row>
    <row r="57" spans="1:9" ht="47.25">
      <c r="A57" s="43"/>
      <c r="B57" s="5" t="s">
        <v>12</v>
      </c>
      <c r="C57" s="6" t="s">
        <v>133</v>
      </c>
      <c r="D57" s="95" t="s">
        <v>61</v>
      </c>
      <c r="E57" s="31">
        <v>318</v>
      </c>
      <c r="F57" s="31">
        <v>315</v>
      </c>
      <c r="G57" s="32">
        <f>F57/E57*100</f>
        <v>99.056603773584911</v>
      </c>
      <c r="H57" s="36"/>
    </row>
    <row r="58" spans="1:9">
      <c r="A58" s="43"/>
      <c r="B58" s="5" t="s">
        <v>14</v>
      </c>
      <c r="C58" s="6" t="s">
        <v>134</v>
      </c>
      <c r="D58" s="95" t="s">
        <v>61</v>
      </c>
      <c r="E58" s="31">
        <v>206</v>
      </c>
      <c r="F58" s="31">
        <v>206</v>
      </c>
      <c r="G58" s="32">
        <f t="shared" si="4"/>
        <v>100</v>
      </c>
      <c r="H58" s="33"/>
    </row>
    <row r="59" spans="1:9" ht="31.5">
      <c r="A59" s="43"/>
      <c r="B59" s="5" t="s">
        <v>16</v>
      </c>
      <c r="C59" s="6" t="s">
        <v>135</v>
      </c>
      <c r="D59" s="95" t="s">
        <v>61</v>
      </c>
      <c r="E59" s="31">
        <v>1</v>
      </c>
      <c r="F59" s="31">
        <v>0</v>
      </c>
      <c r="G59" s="32">
        <f t="shared" si="4"/>
        <v>0</v>
      </c>
      <c r="H59" s="35"/>
    </row>
    <row r="60" spans="1:9" ht="31.5">
      <c r="A60" s="43"/>
      <c r="B60" s="1" t="s">
        <v>8</v>
      </c>
      <c r="C60" s="2" t="s">
        <v>136</v>
      </c>
      <c r="D60" s="95" t="s">
        <v>61</v>
      </c>
      <c r="E60" s="34">
        <f>SUM(E61:E62)</f>
        <v>119</v>
      </c>
      <c r="F60" s="34">
        <f>SUM(F61:F62)</f>
        <v>124</v>
      </c>
      <c r="G60" s="63">
        <f t="shared" si="4"/>
        <v>104.20168067226892</v>
      </c>
      <c r="H60" s="35"/>
    </row>
    <row r="61" spans="1:9" ht="47.25">
      <c r="A61" s="43"/>
      <c r="B61" s="5" t="s">
        <v>62</v>
      </c>
      <c r="C61" s="6" t="s">
        <v>137</v>
      </c>
      <c r="D61" s="95" t="s">
        <v>61</v>
      </c>
      <c r="E61" s="31">
        <v>1</v>
      </c>
      <c r="F61" s="31">
        <v>0</v>
      </c>
      <c r="G61" s="32">
        <f t="shared" si="4"/>
        <v>0</v>
      </c>
      <c r="H61" s="35"/>
    </row>
    <row r="62" spans="1:9" ht="47.25">
      <c r="A62" s="43"/>
      <c r="B62" s="5" t="s">
        <v>144</v>
      </c>
      <c r="C62" s="6" t="s">
        <v>139</v>
      </c>
      <c r="D62" s="95" t="s">
        <v>61</v>
      </c>
      <c r="E62" s="31">
        <v>118</v>
      </c>
      <c r="F62" s="31">
        <v>124</v>
      </c>
      <c r="G62" s="32">
        <f>F62/E62*100</f>
        <v>105.08474576271188</v>
      </c>
      <c r="H62" s="35"/>
    </row>
    <row r="63" spans="1:9">
      <c r="A63" s="43"/>
      <c r="B63" s="1" t="s">
        <v>18</v>
      </c>
      <c r="C63" s="2" t="s">
        <v>64</v>
      </c>
      <c r="D63" s="95" t="s">
        <v>61</v>
      </c>
      <c r="E63" s="40">
        <f>E64+E68+E70+E73</f>
        <v>1062</v>
      </c>
      <c r="F63" s="40">
        <f>F64+F68+F70+F73</f>
        <v>1044</v>
      </c>
      <c r="G63" s="32">
        <f t="shared" si="4"/>
        <v>98.305084745762713</v>
      </c>
      <c r="H63" s="110"/>
    </row>
    <row r="64" spans="1:9" ht="31.5">
      <c r="A64" s="43"/>
      <c r="B64" s="5" t="s">
        <v>145</v>
      </c>
      <c r="C64" s="6" t="s">
        <v>66</v>
      </c>
      <c r="D64" s="95" t="s">
        <v>61</v>
      </c>
      <c r="E64" s="38">
        <f>E65+E66+E67</f>
        <v>273</v>
      </c>
      <c r="F64" s="38">
        <f>F65+F66+F67</f>
        <v>274</v>
      </c>
      <c r="G64" s="32">
        <f t="shared" si="4"/>
        <v>100.36630036630036</v>
      </c>
      <c r="H64" s="35"/>
      <c r="I64" s="64"/>
    </row>
    <row r="65" spans="1:9">
      <c r="A65" s="43"/>
      <c r="B65" s="5"/>
      <c r="C65" s="37" t="s">
        <v>67</v>
      </c>
      <c r="D65" s="95" t="s">
        <v>61</v>
      </c>
      <c r="E65" s="38">
        <v>124</v>
      </c>
      <c r="F65" s="38">
        <v>127</v>
      </c>
      <c r="G65" s="32">
        <f t="shared" si="4"/>
        <v>102.41935483870968</v>
      </c>
      <c r="H65" s="35"/>
      <c r="I65" s="64"/>
    </row>
    <row r="66" spans="1:9">
      <c r="A66" s="43"/>
      <c r="B66" s="5"/>
      <c r="C66" s="37" t="s">
        <v>68</v>
      </c>
      <c r="D66" s="95" t="s">
        <v>61</v>
      </c>
      <c r="E66" s="38">
        <v>130</v>
      </c>
      <c r="F66" s="38">
        <v>128</v>
      </c>
      <c r="G66" s="32">
        <f t="shared" si="4"/>
        <v>98.461538461538467</v>
      </c>
      <c r="H66" s="35"/>
      <c r="I66" s="64"/>
    </row>
    <row r="67" spans="1:9">
      <c r="A67" s="43"/>
      <c r="B67" s="5"/>
      <c r="C67" s="37" t="s">
        <v>69</v>
      </c>
      <c r="D67" s="95" t="s">
        <v>61</v>
      </c>
      <c r="E67" s="38">
        <v>19</v>
      </c>
      <c r="F67" s="38">
        <v>19</v>
      </c>
      <c r="G67" s="32">
        <f t="shared" si="4"/>
        <v>100</v>
      </c>
      <c r="H67" s="35"/>
      <c r="I67" s="64"/>
    </row>
    <row r="68" spans="1:9" ht="31.5">
      <c r="A68" s="43"/>
      <c r="B68" s="5" t="s">
        <v>146</v>
      </c>
      <c r="C68" s="6" t="s">
        <v>71</v>
      </c>
      <c r="D68" s="95" t="s">
        <v>61</v>
      </c>
      <c r="E68" s="38">
        <f>E69</f>
        <v>2</v>
      </c>
      <c r="F68" s="38">
        <f>F69</f>
        <v>0</v>
      </c>
      <c r="G68" s="32">
        <f t="shared" si="4"/>
        <v>0</v>
      </c>
      <c r="H68" s="39"/>
    </row>
    <row r="69" spans="1:9">
      <c r="A69" s="43"/>
      <c r="B69" s="5"/>
      <c r="C69" s="37" t="s">
        <v>67</v>
      </c>
      <c r="D69" s="95" t="s">
        <v>61</v>
      </c>
      <c r="E69" s="38">
        <v>2</v>
      </c>
      <c r="F69" s="38">
        <v>0</v>
      </c>
      <c r="G69" s="32">
        <f t="shared" si="4"/>
        <v>0</v>
      </c>
      <c r="H69" s="39"/>
    </row>
    <row r="70" spans="1:9" ht="47.25">
      <c r="A70" s="43"/>
      <c r="B70" s="5" t="s">
        <v>147</v>
      </c>
      <c r="C70" s="6" t="s">
        <v>73</v>
      </c>
      <c r="D70" s="95" t="s">
        <v>61</v>
      </c>
      <c r="E70" s="38">
        <f>E71+E72</f>
        <v>412</v>
      </c>
      <c r="F70" s="38">
        <f>F71+F72</f>
        <v>411</v>
      </c>
      <c r="G70" s="32">
        <f t="shared" si="4"/>
        <v>99.757281553398059</v>
      </c>
      <c r="H70" s="39"/>
    </row>
    <row r="71" spans="1:9">
      <c r="A71" s="43"/>
      <c r="B71" s="5"/>
      <c r="C71" s="37" t="s">
        <v>68</v>
      </c>
      <c r="D71" s="95" t="s">
        <v>61</v>
      </c>
      <c r="E71" s="38">
        <v>338</v>
      </c>
      <c r="F71" s="38">
        <v>336</v>
      </c>
      <c r="G71" s="32">
        <f t="shared" si="4"/>
        <v>99.408284023668642</v>
      </c>
      <c r="H71" s="39"/>
    </row>
    <row r="72" spans="1:9">
      <c r="A72" s="43"/>
      <c r="B72" s="5"/>
      <c r="C72" s="37" t="s">
        <v>69</v>
      </c>
      <c r="D72" s="95" t="s">
        <v>61</v>
      </c>
      <c r="E72" s="38">
        <v>74</v>
      </c>
      <c r="F72" s="38">
        <v>75</v>
      </c>
      <c r="G72" s="32">
        <f t="shared" si="4"/>
        <v>101.35135135135135</v>
      </c>
      <c r="H72" s="39"/>
    </row>
    <row r="73" spans="1:9" ht="47.25">
      <c r="A73" s="65"/>
      <c r="B73" s="5" t="s">
        <v>148</v>
      </c>
      <c r="C73" s="6" t="s">
        <v>75</v>
      </c>
      <c r="D73" s="95" t="s">
        <v>61</v>
      </c>
      <c r="E73" s="38">
        <f>E74</f>
        <v>375</v>
      </c>
      <c r="F73" s="38">
        <f>F74</f>
        <v>359</v>
      </c>
      <c r="G73" s="32">
        <f t="shared" si="4"/>
        <v>95.733333333333334</v>
      </c>
      <c r="H73" s="39"/>
    </row>
    <row r="74" spans="1:9">
      <c r="A74" s="43"/>
      <c r="B74" s="5"/>
      <c r="C74" s="37" t="s">
        <v>67</v>
      </c>
      <c r="D74" s="95" t="s">
        <v>61</v>
      </c>
      <c r="E74" s="38">
        <v>375</v>
      </c>
      <c r="F74" s="38">
        <v>359</v>
      </c>
      <c r="G74" s="32">
        <f t="shared" si="4"/>
        <v>95.733333333333334</v>
      </c>
      <c r="H74" s="39"/>
    </row>
    <row r="75" spans="1:9">
      <c r="A75" s="43"/>
      <c r="B75" s="5" t="s">
        <v>21</v>
      </c>
      <c r="C75" s="2" t="s">
        <v>31</v>
      </c>
      <c r="D75" s="95" t="s">
        <v>76</v>
      </c>
      <c r="E75" s="40">
        <f>E76</f>
        <v>150</v>
      </c>
      <c r="F75" s="40">
        <f>F76</f>
        <v>150</v>
      </c>
      <c r="G75" s="32">
        <f t="shared" si="4"/>
        <v>100</v>
      </c>
      <c r="H75" s="35"/>
    </row>
    <row r="76" spans="1:9">
      <c r="A76" s="43"/>
      <c r="B76" s="5" t="s">
        <v>149</v>
      </c>
      <c r="C76" s="6" t="s">
        <v>142</v>
      </c>
      <c r="D76" s="95" t="s">
        <v>76</v>
      </c>
      <c r="E76" s="40">
        <v>150</v>
      </c>
      <c r="F76" s="40">
        <v>150</v>
      </c>
      <c r="G76" s="32">
        <f t="shared" si="4"/>
        <v>100</v>
      </c>
      <c r="H76" s="35"/>
    </row>
    <row r="77" spans="1:9">
      <c r="A77" s="43"/>
      <c r="B77" s="72" t="s">
        <v>24</v>
      </c>
      <c r="C77" s="13" t="s">
        <v>80</v>
      </c>
      <c r="D77" s="103"/>
      <c r="E77" s="14">
        <f>E78+E82+E85+E88+E100</f>
        <v>1020</v>
      </c>
      <c r="F77" s="14">
        <f>F78+F82+F85+F88+F100</f>
        <v>990</v>
      </c>
      <c r="G77" s="69">
        <f t="shared" si="4"/>
        <v>97.058823529411768</v>
      </c>
      <c r="H77" s="55"/>
    </row>
    <row r="78" spans="1:9" ht="31.5">
      <c r="A78" s="43"/>
      <c r="B78" s="1" t="s">
        <v>4</v>
      </c>
      <c r="C78" s="2" t="s">
        <v>125</v>
      </c>
      <c r="D78" s="96" t="s">
        <v>61</v>
      </c>
      <c r="E78" s="61">
        <f>SUM(E79:E81)</f>
        <v>249</v>
      </c>
      <c r="F78" s="61">
        <f>SUM(F79:F81)</f>
        <v>240</v>
      </c>
      <c r="G78" s="51">
        <f t="shared" si="4"/>
        <v>96.385542168674704</v>
      </c>
      <c r="H78" s="62"/>
    </row>
    <row r="79" spans="1:9" ht="47.25">
      <c r="A79" s="43"/>
      <c r="B79" s="5" t="s">
        <v>26</v>
      </c>
      <c r="C79" s="6" t="s">
        <v>126</v>
      </c>
      <c r="D79" s="95" t="s">
        <v>61</v>
      </c>
      <c r="E79" s="31">
        <v>25</v>
      </c>
      <c r="F79" s="31">
        <v>29</v>
      </c>
      <c r="G79" s="32">
        <f t="shared" si="4"/>
        <v>115.99999999999999</v>
      </c>
      <c r="H79" s="33"/>
    </row>
    <row r="80" spans="1:9" ht="63">
      <c r="A80" s="43"/>
      <c r="B80" s="5" t="s">
        <v>27</v>
      </c>
      <c r="C80" s="6" t="s">
        <v>127</v>
      </c>
      <c r="D80" s="95" t="s">
        <v>61</v>
      </c>
      <c r="E80" s="34">
        <v>1</v>
      </c>
      <c r="F80" s="34">
        <v>1</v>
      </c>
      <c r="G80" s="32">
        <f t="shared" si="4"/>
        <v>100</v>
      </c>
      <c r="H80" s="33"/>
    </row>
    <row r="81" spans="1:8">
      <c r="A81" s="43"/>
      <c r="B81" s="5" t="s">
        <v>28</v>
      </c>
      <c r="C81" s="6" t="s">
        <v>128</v>
      </c>
      <c r="D81" s="95" t="s">
        <v>61</v>
      </c>
      <c r="E81" s="31">
        <v>223</v>
      </c>
      <c r="F81" s="31">
        <v>210</v>
      </c>
      <c r="G81" s="32">
        <f>F81/E81*100</f>
        <v>94.170403587443957</v>
      </c>
      <c r="H81" s="35"/>
    </row>
    <row r="82" spans="1:8" ht="31.5">
      <c r="A82" s="43"/>
      <c r="B82" s="1" t="s">
        <v>6</v>
      </c>
      <c r="C82" s="2" t="s">
        <v>130</v>
      </c>
      <c r="D82" s="95" t="s">
        <v>61</v>
      </c>
      <c r="E82" s="34">
        <f>SUM(E83:E84)</f>
        <v>231</v>
      </c>
      <c r="F82" s="34">
        <f>SUM(F83:F84)</f>
        <v>228</v>
      </c>
      <c r="G82" s="32">
        <f t="shared" ref="G82" si="5">F82/E82*100</f>
        <v>98.701298701298697</v>
      </c>
      <c r="H82" s="33"/>
    </row>
    <row r="83" spans="1:8" ht="47.25">
      <c r="A83" s="43"/>
      <c r="B83" s="5" t="s">
        <v>7</v>
      </c>
      <c r="C83" s="6" t="s">
        <v>131</v>
      </c>
      <c r="D83" s="95" t="s">
        <v>61</v>
      </c>
      <c r="E83" s="31">
        <v>21</v>
      </c>
      <c r="F83" s="31">
        <v>23</v>
      </c>
      <c r="G83" s="32">
        <f>F83/E83*100</f>
        <v>109.52380952380953</v>
      </c>
      <c r="H83" s="36"/>
    </row>
    <row r="84" spans="1:8">
      <c r="A84" s="43"/>
      <c r="B84" s="5" t="s">
        <v>12</v>
      </c>
      <c r="C84" s="6" t="s">
        <v>134</v>
      </c>
      <c r="D84" s="95" t="s">
        <v>61</v>
      </c>
      <c r="E84" s="31">
        <v>210</v>
      </c>
      <c r="F84" s="31">
        <v>205</v>
      </c>
      <c r="G84" s="32">
        <f t="shared" ref="G84:G85" si="6">F84/E84*100</f>
        <v>97.61904761904762</v>
      </c>
      <c r="H84" s="33"/>
    </row>
    <row r="85" spans="1:8" ht="31.5">
      <c r="A85" s="43"/>
      <c r="B85" s="1" t="s">
        <v>8</v>
      </c>
      <c r="C85" s="2" t="s">
        <v>136</v>
      </c>
      <c r="D85" s="95" t="s">
        <v>61</v>
      </c>
      <c r="E85" s="34">
        <f>SUM(E86:E87)</f>
        <v>28</v>
      </c>
      <c r="F85" s="34">
        <f>SUM(F86:F87)</f>
        <v>24</v>
      </c>
      <c r="G85" s="63">
        <f t="shared" si="6"/>
        <v>85.714285714285708</v>
      </c>
      <c r="H85" s="35"/>
    </row>
    <row r="86" spans="1:8" ht="47.25">
      <c r="A86" s="43"/>
      <c r="B86" s="5" t="s">
        <v>62</v>
      </c>
      <c r="C86" s="6" t="s">
        <v>139</v>
      </c>
      <c r="D86" s="95" t="s">
        <v>61</v>
      </c>
      <c r="E86" s="31">
        <v>9</v>
      </c>
      <c r="F86" s="31">
        <v>10</v>
      </c>
      <c r="G86" s="32">
        <f>F86/E86*100</f>
        <v>111.11111111111111</v>
      </c>
      <c r="H86" s="35"/>
    </row>
    <row r="87" spans="1:8">
      <c r="A87" s="43"/>
      <c r="B87" s="5" t="s">
        <v>144</v>
      </c>
      <c r="C87" s="6" t="s">
        <v>141</v>
      </c>
      <c r="D87" s="95" t="s">
        <v>61</v>
      </c>
      <c r="E87" s="31">
        <v>19</v>
      </c>
      <c r="F87" s="31">
        <v>14</v>
      </c>
      <c r="G87" s="32">
        <f t="shared" ref="G87:G104" si="7">F87/E87*100</f>
        <v>73.68421052631578</v>
      </c>
      <c r="H87" s="35"/>
    </row>
    <row r="88" spans="1:8">
      <c r="A88" s="43"/>
      <c r="B88" s="1" t="s">
        <v>18</v>
      </c>
      <c r="C88" s="2" t="s">
        <v>64</v>
      </c>
      <c r="D88" s="95" t="s">
        <v>61</v>
      </c>
      <c r="E88" s="34">
        <f>E89+E93+E95+E98</f>
        <v>452</v>
      </c>
      <c r="F88" s="34">
        <f>F89+F93+F95+F98</f>
        <v>438</v>
      </c>
      <c r="G88" s="32">
        <f t="shared" si="7"/>
        <v>96.902654867256629</v>
      </c>
      <c r="H88" s="35"/>
    </row>
    <row r="89" spans="1:8" ht="31.5">
      <c r="A89" s="43"/>
      <c r="B89" s="5" t="s">
        <v>145</v>
      </c>
      <c r="C89" s="6" t="s">
        <v>66</v>
      </c>
      <c r="D89" s="95" t="s">
        <v>61</v>
      </c>
      <c r="E89" s="31">
        <f>E90+E91+E92</f>
        <v>259</v>
      </c>
      <c r="F89" s="41">
        <f>F90+F91+F92</f>
        <v>275</v>
      </c>
      <c r="G89" s="32">
        <f t="shared" si="7"/>
        <v>106.17760617760619</v>
      </c>
      <c r="H89" s="35"/>
    </row>
    <row r="90" spans="1:8">
      <c r="A90" s="43"/>
      <c r="B90" s="5"/>
      <c r="C90" s="37" t="s">
        <v>67</v>
      </c>
      <c r="D90" s="95" t="s">
        <v>61</v>
      </c>
      <c r="E90" s="31">
        <v>132</v>
      </c>
      <c r="F90" s="31">
        <v>141</v>
      </c>
      <c r="G90" s="32">
        <f t="shared" si="7"/>
        <v>106.81818181818181</v>
      </c>
      <c r="H90" s="39"/>
    </row>
    <row r="91" spans="1:8">
      <c r="A91" s="43"/>
      <c r="B91" s="5"/>
      <c r="C91" s="37" t="s">
        <v>68</v>
      </c>
      <c r="D91" s="95" t="s">
        <v>61</v>
      </c>
      <c r="E91" s="31">
        <v>120</v>
      </c>
      <c r="F91" s="31">
        <v>127</v>
      </c>
      <c r="G91" s="32">
        <f t="shared" si="7"/>
        <v>105.83333333333333</v>
      </c>
      <c r="H91" s="39"/>
    </row>
    <row r="92" spans="1:8">
      <c r="A92" s="43"/>
      <c r="B92" s="5"/>
      <c r="C92" s="37" t="s">
        <v>69</v>
      </c>
      <c r="D92" s="95" t="s">
        <v>61</v>
      </c>
      <c r="E92" s="31">
        <v>7</v>
      </c>
      <c r="F92" s="31">
        <v>7</v>
      </c>
      <c r="G92" s="32">
        <f t="shared" si="7"/>
        <v>100</v>
      </c>
      <c r="H92" s="39"/>
    </row>
    <row r="93" spans="1:8" ht="31.5">
      <c r="A93" s="43"/>
      <c r="B93" s="5" t="s">
        <v>146</v>
      </c>
      <c r="C93" s="6" t="s">
        <v>71</v>
      </c>
      <c r="D93" s="95" t="s">
        <v>61</v>
      </c>
      <c r="E93" s="31">
        <f>E94</f>
        <v>1</v>
      </c>
      <c r="F93" s="31">
        <f>F94</f>
        <v>2</v>
      </c>
      <c r="G93" s="32">
        <f t="shared" si="7"/>
        <v>200</v>
      </c>
      <c r="H93" s="39"/>
    </row>
    <row r="94" spans="1:8">
      <c r="A94" s="43"/>
      <c r="B94" s="5"/>
      <c r="C94" s="37" t="s">
        <v>67</v>
      </c>
      <c r="D94" s="95" t="s">
        <v>61</v>
      </c>
      <c r="E94" s="31">
        <v>1</v>
      </c>
      <c r="F94" s="31">
        <v>2</v>
      </c>
      <c r="G94" s="32">
        <f t="shared" si="7"/>
        <v>200</v>
      </c>
      <c r="H94" s="39"/>
    </row>
    <row r="95" spans="1:8" ht="63">
      <c r="A95" s="43"/>
      <c r="B95" s="5" t="s">
        <v>147</v>
      </c>
      <c r="C95" s="6" t="s">
        <v>73</v>
      </c>
      <c r="D95" s="95" t="s">
        <v>61</v>
      </c>
      <c r="E95" s="31">
        <f>E96+E97</f>
        <v>76</v>
      </c>
      <c r="F95" s="31">
        <f>F96+F97</f>
        <v>65</v>
      </c>
      <c r="G95" s="32">
        <f t="shared" si="7"/>
        <v>85.526315789473685</v>
      </c>
      <c r="H95" s="39" t="s">
        <v>81</v>
      </c>
    </row>
    <row r="96" spans="1:8">
      <c r="A96" s="43"/>
      <c r="B96" s="5"/>
      <c r="C96" s="37" t="s">
        <v>68</v>
      </c>
      <c r="D96" s="95" t="s">
        <v>61</v>
      </c>
      <c r="E96" s="31">
        <v>73</v>
      </c>
      <c r="F96" s="31">
        <v>55</v>
      </c>
      <c r="G96" s="32">
        <f t="shared" si="7"/>
        <v>75.342465753424662</v>
      </c>
      <c r="H96" s="39"/>
    </row>
    <row r="97" spans="1:8">
      <c r="A97" s="43"/>
      <c r="B97" s="5"/>
      <c r="C97" s="37" t="s">
        <v>69</v>
      </c>
      <c r="D97" s="95" t="s">
        <v>61</v>
      </c>
      <c r="E97" s="31">
        <v>3</v>
      </c>
      <c r="F97" s="31">
        <v>10</v>
      </c>
      <c r="G97" s="32">
        <f t="shared" si="7"/>
        <v>333.33333333333337</v>
      </c>
      <c r="H97" s="39"/>
    </row>
    <row r="98" spans="1:8" ht="47.25">
      <c r="A98" s="65"/>
      <c r="B98" s="5" t="s">
        <v>148</v>
      </c>
      <c r="C98" s="6" t="s">
        <v>75</v>
      </c>
      <c r="D98" s="95" t="s">
        <v>61</v>
      </c>
      <c r="E98" s="31">
        <f>E99</f>
        <v>116</v>
      </c>
      <c r="F98" s="31">
        <f>F99</f>
        <v>96</v>
      </c>
      <c r="G98" s="32">
        <f t="shared" si="7"/>
        <v>82.758620689655174</v>
      </c>
      <c r="H98" s="39"/>
    </row>
    <row r="99" spans="1:8">
      <c r="A99" s="43"/>
      <c r="B99" s="5"/>
      <c r="C99" s="37" t="s">
        <v>67</v>
      </c>
      <c r="D99" s="95" t="s">
        <v>61</v>
      </c>
      <c r="E99" s="31">
        <v>116</v>
      </c>
      <c r="F99" s="31">
        <v>96</v>
      </c>
      <c r="G99" s="32">
        <f t="shared" si="7"/>
        <v>82.758620689655174</v>
      </c>
      <c r="H99" s="39"/>
    </row>
    <row r="100" spans="1:8">
      <c r="A100" s="43"/>
      <c r="B100" s="5" t="s">
        <v>21</v>
      </c>
      <c r="C100" s="2" t="s">
        <v>31</v>
      </c>
      <c r="D100" s="95" t="s">
        <v>76</v>
      </c>
      <c r="E100" s="34">
        <f>E101</f>
        <v>60</v>
      </c>
      <c r="F100" s="34">
        <f>F101</f>
        <v>60</v>
      </c>
      <c r="G100" s="63">
        <f t="shared" si="7"/>
        <v>100</v>
      </c>
      <c r="H100" s="35"/>
    </row>
    <row r="101" spans="1:8">
      <c r="A101" s="43"/>
      <c r="B101" s="5" t="s">
        <v>149</v>
      </c>
      <c r="C101" s="6" t="s">
        <v>142</v>
      </c>
      <c r="D101" s="95" t="s">
        <v>76</v>
      </c>
      <c r="E101" s="34">
        <v>60</v>
      </c>
      <c r="F101" s="34">
        <v>60</v>
      </c>
      <c r="G101" s="32">
        <f t="shared" si="7"/>
        <v>100</v>
      </c>
      <c r="H101" s="35"/>
    </row>
    <row r="102" spans="1:8">
      <c r="A102" s="43"/>
      <c r="B102" s="72" t="s">
        <v>35</v>
      </c>
      <c r="C102" s="13" t="s">
        <v>82</v>
      </c>
      <c r="D102" s="103"/>
      <c r="E102" s="14">
        <f>E103+E106+E109+E113+E125</f>
        <v>2168</v>
      </c>
      <c r="F102" s="14">
        <f>F103+F106+F109+F113+F125</f>
        <v>2059</v>
      </c>
      <c r="G102" s="69">
        <f t="shared" si="7"/>
        <v>94.97232472324724</v>
      </c>
      <c r="H102" s="55"/>
    </row>
    <row r="103" spans="1:8" ht="31.5">
      <c r="A103" s="43"/>
      <c r="B103" s="1" t="s">
        <v>4</v>
      </c>
      <c r="C103" s="2" t="s">
        <v>125</v>
      </c>
      <c r="D103" s="96" t="s">
        <v>61</v>
      </c>
      <c r="E103" s="61">
        <f>SUM(E104:E105)</f>
        <v>420</v>
      </c>
      <c r="F103" s="61">
        <f>SUM(F104:F105)</f>
        <v>420</v>
      </c>
      <c r="G103" s="51">
        <f t="shared" si="7"/>
        <v>100</v>
      </c>
      <c r="H103" s="62"/>
    </row>
    <row r="104" spans="1:8" ht="47.25">
      <c r="A104" s="43"/>
      <c r="B104" s="5" t="s">
        <v>26</v>
      </c>
      <c r="C104" s="6" t="s">
        <v>126</v>
      </c>
      <c r="D104" s="95" t="s">
        <v>61</v>
      </c>
      <c r="E104" s="31">
        <v>16</v>
      </c>
      <c r="F104" s="31">
        <v>18</v>
      </c>
      <c r="G104" s="32">
        <f t="shared" si="7"/>
        <v>112.5</v>
      </c>
      <c r="H104" s="33"/>
    </row>
    <row r="105" spans="1:8">
      <c r="A105" s="43"/>
      <c r="B105" s="5" t="s">
        <v>27</v>
      </c>
      <c r="C105" s="6" t="s">
        <v>128</v>
      </c>
      <c r="D105" s="95" t="s">
        <v>61</v>
      </c>
      <c r="E105" s="31">
        <v>404</v>
      </c>
      <c r="F105" s="31">
        <v>402</v>
      </c>
      <c r="G105" s="32">
        <f>F105/E105*100</f>
        <v>99.504950495049499</v>
      </c>
      <c r="H105" s="35"/>
    </row>
    <row r="106" spans="1:8" ht="31.5">
      <c r="A106" s="43"/>
      <c r="B106" s="1" t="s">
        <v>6</v>
      </c>
      <c r="C106" s="2" t="s">
        <v>130</v>
      </c>
      <c r="D106" s="95" t="s">
        <v>61</v>
      </c>
      <c r="E106" s="34">
        <f>SUM(E107:E108)</f>
        <v>494</v>
      </c>
      <c r="F106" s="34">
        <f>SUM(F107:F108)</f>
        <v>495</v>
      </c>
      <c r="G106" s="32">
        <f t="shared" ref="G106" si="8">F106/E106*100</f>
        <v>100.20242914979758</v>
      </c>
      <c r="H106" s="33"/>
    </row>
    <row r="107" spans="1:8" ht="47.25">
      <c r="A107" s="43"/>
      <c r="B107" s="5" t="s">
        <v>7</v>
      </c>
      <c r="C107" s="6" t="s">
        <v>131</v>
      </c>
      <c r="D107" s="95" t="s">
        <v>61</v>
      </c>
      <c r="E107" s="31">
        <v>30</v>
      </c>
      <c r="F107" s="31">
        <v>31</v>
      </c>
      <c r="G107" s="32">
        <f>F107/E107*100</f>
        <v>103.33333333333334</v>
      </c>
      <c r="H107" s="36"/>
    </row>
    <row r="108" spans="1:8">
      <c r="A108" s="43"/>
      <c r="B108" s="5" t="s">
        <v>12</v>
      </c>
      <c r="C108" s="6" t="s">
        <v>134</v>
      </c>
      <c r="D108" s="95" t="s">
        <v>61</v>
      </c>
      <c r="E108" s="31">
        <v>464</v>
      </c>
      <c r="F108" s="31">
        <v>464</v>
      </c>
      <c r="G108" s="32">
        <f t="shared" ref="G108:G110" si="9">F108/E108*100</f>
        <v>100</v>
      </c>
      <c r="H108" s="33"/>
    </row>
    <row r="109" spans="1:8" ht="31.5">
      <c r="A109" s="43"/>
      <c r="B109" s="1" t="s">
        <v>8</v>
      </c>
      <c r="C109" s="2" t="s">
        <v>136</v>
      </c>
      <c r="D109" s="95" t="s">
        <v>61</v>
      </c>
      <c r="E109" s="34">
        <f>SUM(E110:E112)</f>
        <v>100</v>
      </c>
      <c r="F109" s="34">
        <f>SUM(F110:F112)</f>
        <v>101</v>
      </c>
      <c r="G109" s="63">
        <f t="shared" si="9"/>
        <v>101</v>
      </c>
      <c r="H109" s="35"/>
    </row>
    <row r="110" spans="1:8" ht="63">
      <c r="A110" s="43"/>
      <c r="B110" s="5" t="s">
        <v>62</v>
      </c>
      <c r="C110" s="6" t="s">
        <v>138</v>
      </c>
      <c r="D110" s="95" t="s">
        <v>61</v>
      </c>
      <c r="E110" s="31">
        <v>1</v>
      </c>
      <c r="F110" s="31">
        <v>1</v>
      </c>
      <c r="G110" s="32">
        <f t="shared" si="9"/>
        <v>100</v>
      </c>
      <c r="H110" s="35"/>
    </row>
    <row r="111" spans="1:8" ht="47.25">
      <c r="A111" s="43"/>
      <c r="B111" s="5" t="s">
        <v>144</v>
      </c>
      <c r="C111" s="6" t="s">
        <v>139</v>
      </c>
      <c r="D111" s="95" t="s">
        <v>61</v>
      </c>
      <c r="E111" s="31">
        <v>98</v>
      </c>
      <c r="F111" s="31">
        <v>99</v>
      </c>
      <c r="G111" s="32">
        <f>F111/E111*100</f>
        <v>101.0204081632653</v>
      </c>
      <c r="H111" s="35"/>
    </row>
    <row r="112" spans="1:8" ht="63">
      <c r="A112" s="43"/>
      <c r="B112" s="5" t="s">
        <v>63</v>
      </c>
      <c r="C112" s="6" t="s">
        <v>140</v>
      </c>
      <c r="D112" s="95" t="s">
        <v>61</v>
      </c>
      <c r="E112" s="31">
        <v>1</v>
      </c>
      <c r="F112" s="31">
        <v>1</v>
      </c>
      <c r="G112" s="32">
        <f t="shared" ref="G112" si="10">F112/E112*100</f>
        <v>100</v>
      </c>
      <c r="H112" s="35"/>
    </row>
    <row r="113" spans="1:9">
      <c r="A113" s="43"/>
      <c r="B113" s="5" t="s">
        <v>18</v>
      </c>
      <c r="C113" s="2" t="s">
        <v>64</v>
      </c>
      <c r="D113" s="95" t="s">
        <v>61</v>
      </c>
      <c r="E113" s="34">
        <f>E114+E118+E120+E123</f>
        <v>849</v>
      </c>
      <c r="F113" s="34">
        <f>F114+F118+F120+F123</f>
        <v>828</v>
      </c>
      <c r="G113" s="32">
        <f t="shared" ref="G113:G159" si="11">F113/E113*100</f>
        <v>97.526501766784463</v>
      </c>
      <c r="H113" s="35"/>
      <c r="I113" s="66"/>
    </row>
    <row r="114" spans="1:9" ht="31.5">
      <c r="A114" s="43"/>
      <c r="B114" s="5" t="s">
        <v>65</v>
      </c>
      <c r="C114" s="6" t="s">
        <v>66</v>
      </c>
      <c r="D114" s="95" t="s">
        <v>61</v>
      </c>
      <c r="E114" s="31">
        <f>E115+E116+E117</f>
        <v>364</v>
      </c>
      <c r="F114" s="41">
        <f>F115+F116+F117</f>
        <v>367</v>
      </c>
      <c r="G114" s="32">
        <f t="shared" si="11"/>
        <v>100.82417582417582</v>
      </c>
      <c r="H114" s="35"/>
      <c r="I114" s="66"/>
    </row>
    <row r="115" spans="1:9">
      <c r="A115" s="43"/>
      <c r="B115" s="5"/>
      <c r="C115" s="37" t="s">
        <v>67</v>
      </c>
      <c r="D115" s="95" t="s">
        <v>61</v>
      </c>
      <c r="E115" s="31">
        <v>146</v>
      </c>
      <c r="F115" s="31">
        <v>149</v>
      </c>
      <c r="G115" s="32">
        <f t="shared" si="11"/>
        <v>102.05479452054796</v>
      </c>
      <c r="H115" s="39"/>
      <c r="I115" s="66"/>
    </row>
    <row r="116" spans="1:9">
      <c r="A116" s="43"/>
      <c r="B116" s="5"/>
      <c r="C116" s="37" t="s">
        <v>68</v>
      </c>
      <c r="D116" s="95" t="s">
        <v>61</v>
      </c>
      <c r="E116" s="31">
        <v>184</v>
      </c>
      <c r="F116" s="31">
        <v>184</v>
      </c>
      <c r="G116" s="32">
        <f t="shared" si="11"/>
        <v>100</v>
      </c>
      <c r="H116" s="39"/>
      <c r="I116" s="66"/>
    </row>
    <row r="117" spans="1:9">
      <c r="A117" s="43"/>
      <c r="B117" s="5"/>
      <c r="C117" s="37" t="s">
        <v>69</v>
      </c>
      <c r="D117" s="95" t="s">
        <v>61</v>
      </c>
      <c r="E117" s="31">
        <v>34</v>
      </c>
      <c r="F117" s="31">
        <v>34</v>
      </c>
      <c r="G117" s="32">
        <f t="shared" si="11"/>
        <v>100</v>
      </c>
      <c r="H117" s="39"/>
      <c r="I117" s="64"/>
    </row>
    <row r="118" spans="1:9" ht="31.5">
      <c r="A118" s="43"/>
      <c r="B118" s="5" t="s">
        <v>70</v>
      </c>
      <c r="C118" s="6" t="s">
        <v>71</v>
      </c>
      <c r="D118" s="95" t="s">
        <v>61</v>
      </c>
      <c r="E118" s="31">
        <f>E119</f>
        <v>1</v>
      </c>
      <c r="F118" s="31">
        <f>F119</f>
        <v>1</v>
      </c>
      <c r="G118" s="32">
        <f t="shared" si="11"/>
        <v>100</v>
      </c>
      <c r="H118" s="39"/>
    </row>
    <row r="119" spans="1:9">
      <c r="A119" s="43"/>
      <c r="B119" s="5"/>
      <c r="C119" s="37" t="s">
        <v>69</v>
      </c>
      <c r="D119" s="95" t="s">
        <v>61</v>
      </c>
      <c r="E119" s="31">
        <v>1</v>
      </c>
      <c r="F119" s="31">
        <v>1</v>
      </c>
      <c r="G119" s="32">
        <f t="shared" si="11"/>
        <v>100</v>
      </c>
      <c r="H119" s="39"/>
    </row>
    <row r="120" spans="1:9" ht="63">
      <c r="A120" s="43"/>
      <c r="B120" s="5" t="s">
        <v>72</v>
      </c>
      <c r="C120" s="6" t="s">
        <v>73</v>
      </c>
      <c r="D120" s="95" t="s">
        <v>61</v>
      </c>
      <c r="E120" s="31">
        <f>E121+E122</f>
        <v>210</v>
      </c>
      <c r="F120" s="31">
        <f>F121+F122</f>
        <v>188</v>
      </c>
      <c r="G120" s="32">
        <f t="shared" si="11"/>
        <v>89.523809523809533</v>
      </c>
      <c r="H120" s="39" t="s">
        <v>81</v>
      </c>
    </row>
    <row r="121" spans="1:9">
      <c r="A121" s="43"/>
      <c r="B121" s="5"/>
      <c r="C121" s="37" t="s">
        <v>68</v>
      </c>
      <c r="D121" s="95" t="s">
        <v>61</v>
      </c>
      <c r="E121" s="31">
        <v>189</v>
      </c>
      <c r="F121" s="31">
        <v>175</v>
      </c>
      <c r="G121" s="32">
        <f t="shared" si="11"/>
        <v>92.592592592592595</v>
      </c>
      <c r="H121" s="39"/>
    </row>
    <row r="122" spans="1:9">
      <c r="A122" s="43"/>
      <c r="B122" s="5"/>
      <c r="C122" s="37" t="s">
        <v>69</v>
      </c>
      <c r="D122" s="95" t="s">
        <v>61</v>
      </c>
      <c r="E122" s="31">
        <v>21</v>
      </c>
      <c r="F122" s="31">
        <v>13</v>
      </c>
      <c r="G122" s="32">
        <f t="shared" si="11"/>
        <v>61.904761904761905</v>
      </c>
      <c r="H122" s="39"/>
    </row>
    <row r="123" spans="1:9" ht="47.25">
      <c r="A123" s="65"/>
      <c r="B123" s="5" t="s">
        <v>74</v>
      </c>
      <c r="C123" s="6" t="s">
        <v>75</v>
      </c>
      <c r="D123" s="95" t="s">
        <v>61</v>
      </c>
      <c r="E123" s="31">
        <f>E124</f>
        <v>274</v>
      </c>
      <c r="F123" s="31">
        <f>F124</f>
        <v>272</v>
      </c>
      <c r="G123" s="32">
        <f t="shared" si="11"/>
        <v>99.270072992700733</v>
      </c>
      <c r="H123" s="39"/>
    </row>
    <row r="124" spans="1:9">
      <c r="A124" s="43"/>
      <c r="B124" s="5"/>
      <c r="C124" s="37" t="s">
        <v>67</v>
      </c>
      <c r="D124" s="95" t="s">
        <v>61</v>
      </c>
      <c r="E124" s="31">
        <v>274</v>
      </c>
      <c r="F124" s="31">
        <v>272</v>
      </c>
      <c r="G124" s="32">
        <f t="shared" si="11"/>
        <v>99.270072992700733</v>
      </c>
      <c r="H124" s="39"/>
    </row>
    <row r="125" spans="1:9">
      <c r="A125" s="43"/>
      <c r="B125" s="5" t="s">
        <v>21</v>
      </c>
      <c r="C125" s="2" t="s">
        <v>31</v>
      </c>
      <c r="D125" s="95" t="s">
        <v>76</v>
      </c>
      <c r="E125" s="34">
        <f>E126</f>
        <v>305</v>
      </c>
      <c r="F125" s="34">
        <f>F126</f>
        <v>215</v>
      </c>
      <c r="G125" s="32">
        <f t="shared" si="11"/>
        <v>70.491803278688522</v>
      </c>
      <c r="H125" s="35"/>
    </row>
    <row r="126" spans="1:9">
      <c r="A126" s="43"/>
      <c r="B126" s="5" t="s">
        <v>77</v>
      </c>
      <c r="C126" s="6" t="s">
        <v>142</v>
      </c>
      <c r="D126" s="95" t="s">
        <v>76</v>
      </c>
      <c r="E126" s="34">
        <v>305</v>
      </c>
      <c r="F126" s="34">
        <v>215</v>
      </c>
      <c r="G126" s="32">
        <f t="shared" si="11"/>
        <v>70.491803278688522</v>
      </c>
      <c r="H126" s="35"/>
    </row>
    <row r="127" spans="1:9">
      <c r="A127" s="43"/>
      <c r="B127" s="72" t="s">
        <v>57</v>
      </c>
      <c r="C127" s="13" t="s">
        <v>83</v>
      </c>
      <c r="D127" s="103"/>
      <c r="E127" s="14">
        <f>E128+E133+E137+E140+E156+E158</f>
        <v>7026</v>
      </c>
      <c r="F127" s="14">
        <f>F128+F133+F137+F140+F156+F158</f>
        <v>4363</v>
      </c>
      <c r="G127" s="69">
        <f t="shared" si="11"/>
        <v>62.097922003985197</v>
      </c>
      <c r="H127" s="55"/>
    </row>
    <row r="128" spans="1:9" ht="31.5">
      <c r="A128" s="43"/>
      <c r="B128" s="1" t="s">
        <v>4</v>
      </c>
      <c r="C128" s="2" t="s">
        <v>125</v>
      </c>
      <c r="D128" s="96" t="s">
        <v>61</v>
      </c>
      <c r="E128" s="61">
        <f>SUM(E129:E132)</f>
        <v>363</v>
      </c>
      <c r="F128" s="61">
        <f>SUM(F129:F132)</f>
        <v>356</v>
      </c>
      <c r="G128" s="51">
        <f t="shared" si="11"/>
        <v>98.071625344352626</v>
      </c>
      <c r="H128" s="62"/>
    </row>
    <row r="129" spans="1:9" ht="47.25">
      <c r="A129" s="43"/>
      <c r="B129" s="5" t="s">
        <v>26</v>
      </c>
      <c r="C129" s="6" t="s">
        <v>126</v>
      </c>
      <c r="D129" s="95" t="s">
        <v>61</v>
      </c>
      <c r="E129" s="31">
        <v>32</v>
      </c>
      <c r="F129" s="31">
        <v>33</v>
      </c>
      <c r="G129" s="32">
        <f t="shared" si="11"/>
        <v>103.125</v>
      </c>
      <c r="H129" s="33"/>
    </row>
    <row r="130" spans="1:9" ht="63">
      <c r="A130" s="43"/>
      <c r="B130" s="5" t="s">
        <v>27</v>
      </c>
      <c r="C130" s="6" t="s">
        <v>127</v>
      </c>
      <c r="D130" s="95" t="s">
        <v>61</v>
      </c>
      <c r="E130" s="34">
        <v>1</v>
      </c>
      <c r="F130" s="34">
        <v>1</v>
      </c>
      <c r="G130" s="32">
        <f t="shared" si="11"/>
        <v>100</v>
      </c>
      <c r="H130" s="33"/>
    </row>
    <row r="131" spans="1:9">
      <c r="A131" s="43"/>
      <c r="B131" s="5" t="s">
        <v>28</v>
      </c>
      <c r="C131" s="6" t="s">
        <v>128</v>
      </c>
      <c r="D131" s="95" t="s">
        <v>61</v>
      </c>
      <c r="E131" s="31">
        <v>329</v>
      </c>
      <c r="F131" s="31">
        <v>321</v>
      </c>
      <c r="G131" s="32">
        <f>F131/E131*100</f>
        <v>97.568389057750764</v>
      </c>
      <c r="H131" s="35"/>
    </row>
    <row r="132" spans="1:9">
      <c r="A132" s="43"/>
      <c r="B132" s="5" t="s">
        <v>29</v>
      </c>
      <c r="C132" s="6" t="s">
        <v>129</v>
      </c>
      <c r="D132" s="95" t="s">
        <v>61</v>
      </c>
      <c r="E132" s="31">
        <v>1</v>
      </c>
      <c r="F132" s="31">
        <v>1</v>
      </c>
      <c r="G132" s="32">
        <f t="shared" ref="G132:G133" si="12">F132/E132*100</f>
        <v>100</v>
      </c>
      <c r="H132" s="33"/>
    </row>
    <row r="133" spans="1:9" ht="31.5">
      <c r="A133" s="43"/>
      <c r="B133" s="1" t="s">
        <v>6</v>
      </c>
      <c r="C133" s="2" t="s">
        <v>130</v>
      </c>
      <c r="D133" s="95" t="s">
        <v>61</v>
      </c>
      <c r="E133" s="34">
        <f>SUM(E134:E136)</f>
        <v>442</v>
      </c>
      <c r="F133" s="34">
        <f>SUM(F134:F136)</f>
        <v>437</v>
      </c>
      <c r="G133" s="32">
        <f t="shared" si="12"/>
        <v>98.868778280542983</v>
      </c>
      <c r="H133" s="33"/>
    </row>
    <row r="134" spans="1:9" ht="47.25">
      <c r="A134" s="43"/>
      <c r="B134" s="5" t="s">
        <v>7</v>
      </c>
      <c r="C134" s="6" t="s">
        <v>131</v>
      </c>
      <c r="D134" s="95" t="s">
        <v>61</v>
      </c>
      <c r="E134" s="31">
        <v>34</v>
      </c>
      <c r="F134" s="31">
        <v>37</v>
      </c>
      <c r="G134" s="32">
        <f>F134/E134*100</f>
        <v>108.8235294117647</v>
      </c>
      <c r="H134" s="36"/>
    </row>
    <row r="135" spans="1:9">
      <c r="A135" s="43"/>
      <c r="B135" s="5" t="s">
        <v>12</v>
      </c>
      <c r="C135" s="6" t="s">
        <v>134</v>
      </c>
      <c r="D135" s="95" t="s">
        <v>61</v>
      </c>
      <c r="E135" s="31">
        <v>406</v>
      </c>
      <c r="F135" s="31">
        <v>398</v>
      </c>
      <c r="G135" s="32">
        <f t="shared" ref="G135:G137" si="13">F135/E135*100</f>
        <v>98.029556650246306</v>
      </c>
      <c r="H135" s="33"/>
    </row>
    <row r="136" spans="1:9" ht="31.5">
      <c r="A136" s="43"/>
      <c r="B136" s="5" t="s">
        <v>14</v>
      </c>
      <c r="C136" s="6" t="s">
        <v>135</v>
      </c>
      <c r="D136" s="95" t="s">
        <v>61</v>
      </c>
      <c r="E136" s="31">
        <v>2</v>
      </c>
      <c r="F136" s="31">
        <v>2</v>
      </c>
      <c r="G136" s="32">
        <f t="shared" si="13"/>
        <v>100</v>
      </c>
      <c r="H136" s="35"/>
    </row>
    <row r="137" spans="1:9" ht="31.5">
      <c r="A137" s="43"/>
      <c r="B137" s="1" t="s">
        <v>8</v>
      </c>
      <c r="C137" s="2" t="s">
        <v>136</v>
      </c>
      <c r="D137" s="95" t="s">
        <v>61</v>
      </c>
      <c r="E137" s="34">
        <f>SUM(E138:E139)</f>
        <v>55</v>
      </c>
      <c r="F137" s="34">
        <f>SUM(F138:F139)</f>
        <v>55</v>
      </c>
      <c r="G137" s="63">
        <f t="shared" si="13"/>
        <v>100</v>
      </c>
      <c r="H137" s="35"/>
    </row>
    <row r="138" spans="1:9" ht="47.25">
      <c r="A138" s="43"/>
      <c r="B138" s="5" t="s">
        <v>62</v>
      </c>
      <c r="C138" s="6" t="s">
        <v>139</v>
      </c>
      <c r="D138" s="95" t="s">
        <v>61</v>
      </c>
      <c r="E138" s="31">
        <v>46</v>
      </c>
      <c r="F138" s="31">
        <v>42</v>
      </c>
      <c r="G138" s="32">
        <f>F138/E138*100</f>
        <v>91.304347826086953</v>
      </c>
      <c r="H138" s="35"/>
    </row>
    <row r="139" spans="1:9">
      <c r="A139" s="43"/>
      <c r="B139" s="5" t="s">
        <v>144</v>
      </c>
      <c r="C139" s="6" t="s">
        <v>141</v>
      </c>
      <c r="D139" s="95" t="s">
        <v>61</v>
      </c>
      <c r="E139" s="31">
        <v>9</v>
      </c>
      <c r="F139" s="31">
        <v>13</v>
      </c>
      <c r="G139" s="32">
        <f t="shared" ref="G139" si="14">F139/E139*100</f>
        <v>144.44444444444443</v>
      </c>
      <c r="H139" s="35"/>
    </row>
    <row r="140" spans="1:9">
      <c r="A140" s="43"/>
      <c r="B140" s="5" t="s">
        <v>18</v>
      </c>
      <c r="C140" s="2" t="s">
        <v>64</v>
      </c>
      <c r="D140" s="95" t="s">
        <v>61</v>
      </c>
      <c r="E140" s="34">
        <f>E141+E145+E148+E151+E153</f>
        <v>743</v>
      </c>
      <c r="F140" s="34">
        <f>F141+F145+F148+F151+F153</f>
        <v>753</v>
      </c>
      <c r="G140" s="32">
        <f t="shared" si="11"/>
        <v>101.34589502018842</v>
      </c>
      <c r="H140" s="35"/>
    </row>
    <row r="141" spans="1:9" ht="31.5">
      <c r="A141" s="43"/>
      <c r="B141" s="5" t="s">
        <v>145</v>
      </c>
      <c r="C141" s="6" t="s">
        <v>66</v>
      </c>
      <c r="D141" s="95" t="s">
        <v>61</v>
      </c>
      <c r="E141" s="31">
        <f>E142+E143+E144</f>
        <v>291</v>
      </c>
      <c r="F141" s="41">
        <f>F142+F143+F144</f>
        <v>309</v>
      </c>
      <c r="G141" s="32">
        <f t="shared" si="11"/>
        <v>106.18556701030928</v>
      </c>
      <c r="H141" s="35"/>
      <c r="I141" s="64"/>
    </row>
    <row r="142" spans="1:9">
      <c r="A142" s="43"/>
      <c r="B142" s="5"/>
      <c r="C142" s="37" t="s">
        <v>67</v>
      </c>
      <c r="D142" s="95" t="s">
        <v>61</v>
      </c>
      <c r="E142" s="31">
        <v>127</v>
      </c>
      <c r="F142" s="31">
        <v>137</v>
      </c>
      <c r="G142" s="32">
        <f t="shared" si="11"/>
        <v>107.87401574803151</v>
      </c>
      <c r="H142" s="39"/>
      <c r="I142" s="64"/>
    </row>
    <row r="143" spans="1:9">
      <c r="A143" s="43"/>
      <c r="B143" s="5"/>
      <c r="C143" s="37" t="s">
        <v>68</v>
      </c>
      <c r="D143" s="95" t="s">
        <v>61</v>
      </c>
      <c r="E143" s="31">
        <v>149</v>
      </c>
      <c r="F143" s="31">
        <v>158</v>
      </c>
      <c r="G143" s="32">
        <f t="shared" si="11"/>
        <v>106.04026845637584</v>
      </c>
      <c r="H143" s="39"/>
      <c r="I143" s="64"/>
    </row>
    <row r="144" spans="1:9">
      <c r="A144" s="43"/>
      <c r="B144" s="5"/>
      <c r="C144" s="37" t="s">
        <v>69</v>
      </c>
      <c r="D144" s="95" t="s">
        <v>61</v>
      </c>
      <c r="E144" s="31">
        <v>15</v>
      </c>
      <c r="F144" s="31">
        <v>14</v>
      </c>
      <c r="G144" s="32">
        <f t="shared" si="11"/>
        <v>93.333333333333329</v>
      </c>
      <c r="H144" s="39"/>
      <c r="I144" s="64"/>
    </row>
    <row r="145" spans="1:8" ht="31.5">
      <c r="A145" s="43"/>
      <c r="B145" s="5" t="s">
        <v>146</v>
      </c>
      <c r="C145" s="6" t="s">
        <v>71</v>
      </c>
      <c r="D145" s="95" t="s">
        <v>61</v>
      </c>
      <c r="E145" s="31">
        <f>E146+E147</f>
        <v>1</v>
      </c>
      <c r="F145" s="31">
        <f>F146+F147</f>
        <v>2</v>
      </c>
      <c r="G145" s="32">
        <f t="shared" si="11"/>
        <v>200</v>
      </c>
      <c r="H145" s="39"/>
    </row>
    <row r="146" spans="1:8">
      <c r="A146" s="43"/>
      <c r="B146" s="5"/>
      <c r="C146" s="37" t="s">
        <v>67</v>
      </c>
      <c r="D146" s="95" t="s">
        <v>61</v>
      </c>
      <c r="E146" s="31"/>
      <c r="F146" s="31">
        <v>1</v>
      </c>
      <c r="G146" s="32"/>
      <c r="H146" s="39"/>
    </row>
    <row r="147" spans="1:8">
      <c r="A147" s="43"/>
      <c r="B147" s="5"/>
      <c r="C147" s="37" t="s">
        <v>68</v>
      </c>
      <c r="D147" s="95" t="s">
        <v>61</v>
      </c>
      <c r="E147" s="31">
        <v>1</v>
      </c>
      <c r="F147" s="31">
        <v>1</v>
      </c>
      <c r="G147" s="32">
        <f t="shared" si="11"/>
        <v>100</v>
      </c>
      <c r="H147" s="39"/>
    </row>
    <row r="148" spans="1:8" ht="63">
      <c r="A148" s="43"/>
      <c r="B148" s="5" t="s">
        <v>147</v>
      </c>
      <c r="C148" s="6" t="s">
        <v>73</v>
      </c>
      <c r="D148" s="95" t="s">
        <v>61</v>
      </c>
      <c r="E148" s="31">
        <f>E149+E150</f>
        <v>143</v>
      </c>
      <c r="F148" s="31">
        <f>F149+F150</f>
        <v>159</v>
      </c>
      <c r="G148" s="32">
        <f t="shared" si="11"/>
        <v>111.18881118881119</v>
      </c>
      <c r="H148" s="39" t="s">
        <v>81</v>
      </c>
    </row>
    <row r="149" spans="1:8">
      <c r="A149" s="43"/>
      <c r="B149" s="5"/>
      <c r="C149" s="37" t="s">
        <v>68</v>
      </c>
      <c r="D149" s="95" t="s">
        <v>61</v>
      </c>
      <c r="E149" s="31">
        <v>125</v>
      </c>
      <c r="F149" s="31">
        <v>139</v>
      </c>
      <c r="G149" s="32">
        <f t="shared" si="11"/>
        <v>111.20000000000002</v>
      </c>
      <c r="H149" s="39"/>
    </row>
    <row r="150" spans="1:8">
      <c r="A150" s="43"/>
      <c r="B150" s="5"/>
      <c r="C150" s="37" t="s">
        <v>69</v>
      </c>
      <c r="D150" s="95" t="s">
        <v>61</v>
      </c>
      <c r="E150" s="31">
        <v>18</v>
      </c>
      <c r="F150" s="31">
        <v>20</v>
      </c>
      <c r="G150" s="32">
        <f t="shared" si="11"/>
        <v>111.11111111111111</v>
      </c>
      <c r="H150" s="39"/>
    </row>
    <row r="151" spans="1:8" ht="47.25">
      <c r="A151" s="65"/>
      <c r="B151" s="5" t="s">
        <v>148</v>
      </c>
      <c r="C151" s="6" t="s">
        <v>75</v>
      </c>
      <c r="D151" s="95" t="s">
        <v>61</v>
      </c>
      <c r="E151" s="31">
        <f>E152</f>
        <v>236</v>
      </c>
      <c r="F151" s="31">
        <f>F152</f>
        <v>218</v>
      </c>
      <c r="G151" s="32">
        <f t="shared" si="11"/>
        <v>92.372881355932208</v>
      </c>
      <c r="H151" s="39"/>
    </row>
    <row r="152" spans="1:8">
      <c r="A152" s="43"/>
      <c r="B152" s="5"/>
      <c r="C152" s="37" t="s">
        <v>67</v>
      </c>
      <c r="D152" s="95" t="s">
        <v>61</v>
      </c>
      <c r="E152" s="31">
        <v>236</v>
      </c>
      <c r="F152" s="31">
        <v>218</v>
      </c>
      <c r="G152" s="32">
        <f t="shared" si="11"/>
        <v>92.372881355932208</v>
      </c>
      <c r="H152" s="39"/>
    </row>
    <row r="153" spans="1:8" ht="47.25">
      <c r="A153" s="43"/>
      <c r="B153" s="5" t="s">
        <v>151</v>
      </c>
      <c r="C153" s="6" t="s">
        <v>84</v>
      </c>
      <c r="D153" s="95" t="s">
        <v>61</v>
      </c>
      <c r="E153" s="31">
        <f>E154+E155</f>
        <v>72</v>
      </c>
      <c r="F153" s="31">
        <f>F154+F155</f>
        <v>65</v>
      </c>
      <c r="G153" s="32">
        <f t="shared" si="11"/>
        <v>90.277777777777786</v>
      </c>
      <c r="H153" s="39"/>
    </row>
    <row r="154" spans="1:8">
      <c r="A154" s="43"/>
      <c r="B154" s="5"/>
      <c r="C154" s="37" t="s">
        <v>68</v>
      </c>
      <c r="D154" s="95" t="s">
        <v>61</v>
      </c>
      <c r="E154" s="31">
        <v>65</v>
      </c>
      <c r="F154" s="31">
        <v>57</v>
      </c>
      <c r="G154" s="32">
        <f>F154/E154*100</f>
        <v>87.692307692307693</v>
      </c>
      <c r="H154" s="39"/>
    </row>
    <row r="155" spans="1:8">
      <c r="A155" s="43"/>
      <c r="B155" s="5"/>
      <c r="C155" s="37" t="s">
        <v>69</v>
      </c>
      <c r="D155" s="95" t="s">
        <v>61</v>
      </c>
      <c r="E155" s="31">
        <v>7</v>
      </c>
      <c r="F155" s="31">
        <v>8</v>
      </c>
      <c r="G155" s="32">
        <f t="shared" si="11"/>
        <v>114.28571428571428</v>
      </c>
      <c r="H155" s="39"/>
    </row>
    <row r="156" spans="1:8">
      <c r="A156" s="43"/>
      <c r="B156" s="5" t="s">
        <v>21</v>
      </c>
      <c r="C156" s="2" t="s">
        <v>31</v>
      </c>
      <c r="D156" s="95" t="s">
        <v>76</v>
      </c>
      <c r="E156" s="34">
        <f>E157</f>
        <v>140</v>
      </c>
      <c r="F156" s="34">
        <f>F157</f>
        <v>140</v>
      </c>
      <c r="G156" s="32">
        <f t="shared" si="11"/>
        <v>100</v>
      </c>
      <c r="H156" s="42"/>
    </row>
    <row r="157" spans="1:8">
      <c r="A157" s="43"/>
      <c r="B157" s="5" t="s">
        <v>149</v>
      </c>
      <c r="C157" s="6" t="s">
        <v>142</v>
      </c>
      <c r="D157" s="95" t="s">
        <v>76</v>
      </c>
      <c r="E157" s="34">
        <v>140</v>
      </c>
      <c r="F157" s="34">
        <v>140</v>
      </c>
      <c r="G157" s="32">
        <f t="shared" si="11"/>
        <v>100</v>
      </c>
      <c r="H157" s="42"/>
    </row>
    <row r="158" spans="1:8">
      <c r="A158" s="43"/>
      <c r="B158" s="1" t="s">
        <v>24</v>
      </c>
      <c r="C158" s="2" t="s">
        <v>78</v>
      </c>
      <c r="D158" s="95" t="s">
        <v>5</v>
      </c>
      <c r="E158" s="34">
        <f>E159</f>
        <v>5283</v>
      </c>
      <c r="F158" s="34">
        <f>F159</f>
        <v>2622</v>
      </c>
      <c r="G158" s="32">
        <f t="shared" si="11"/>
        <v>49.630891538898354</v>
      </c>
      <c r="H158" s="35"/>
    </row>
    <row r="159" spans="1:8">
      <c r="A159" s="43"/>
      <c r="B159" s="5" t="s">
        <v>150</v>
      </c>
      <c r="C159" s="6" t="s">
        <v>79</v>
      </c>
      <c r="D159" s="95" t="s">
        <v>5</v>
      </c>
      <c r="E159" s="31">
        <v>5283</v>
      </c>
      <c r="F159" s="31">
        <v>2622</v>
      </c>
      <c r="G159" s="32">
        <f t="shared" si="11"/>
        <v>49.630891538898354</v>
      </c>
      <c r="H159" s="35"/>
    </row>
    <row r="160" spans="1:8" s="19" customFormat="1">
      <c r="A160" s="30"/>
      <c r="B160" s="72" t="s">
        <v>172</v>
      </c>
      <c r="C160" s="13" t="s">
        <v>85</v>
      </c>
      <c r="D160" s="103"/>
      <c r="E160" s="14">
        <f>E161+E164+E169+E173+E185</f>
        <v>1608</v>
      </c>
      <c r="F160" s="14">
        <f>F161+F164+F169+F173+F185</f>
        <v>1547</v>
      </c>
      <c r="G160" s="69">
        <f t="shared" ref="G160:G162" si="15">F160/E160*100</f>
        <v>96.206467661691548</v>
      </c>
      <c r="H160" s="55"/>
    </row>
    <row r="161" spans="1:9" ht="31.5">
      <c r="A161" s="43"/>
      <c r="B161" s="1" t="s">
        <v>4</v>
      </c>
      <c r="C161" s="2" t="s">
        <v>125</v>
      </c>
      <c r="D161" s="96" t="s">
        <v>61</v>
      </c>
      <c r="E161" s="61">
        <f>SUM(E162:E163)</f>
        <v>308</v>
      </c>
      <c r="F161" s="61">
        <f>SUM(F162:F163)</f>
        <v>298</v>
      </c>
      <c r="G161" s="51">
        <f t="shared" si="15"/>
        <v>96.753246753246756</v>
      </c>
      <c r="H161" s="62"/>
    </row>
    <row r="162" spans="1:9" ht="47.25">
      <c r="A162" s="43"/>
      <c r="B162" s="5" t="s">
        <v>26</v>
      </c>
      <c r="C162" s="6" t="s">
        <v>126</v>
      </c>
      <c r="D162" s="95" t="s">
        <v>61</v>
      </c>
      <c r="E162" s="31">
        <v>4</v>
      </c>
      <c r="F162" s="31">
        <v>5</v>
      </c>
      <c r="G162" s="32">
        <f t="shared" si="15"/>
        <v>125</v>
      </c>
      <c r="H162" s="33"/>
    </row>
    <row r="163" spans="1:9">
      <c r="A163" s="43"/>
      <c r="B163" s="5" t="s">
        <v>27</v>
      </c>
      <c r="C163" s="6" t="s">
        <v>128</v>
      </c>
      <c r="D163" s="95" t="s">
        <v>61</v>
      </c>
      <c r="E163" s="31">
        <v>304</v>
      </c>
      <c r="F163" s="31">
        <v>293</v>
      </c>
      <c r="G163" s="32">
        <f>F163/E163*100</f>
        <v>96.381578947368425</v>
      </c>
      <c r="H163" s="35"/>
    </row>
    <row r="164" spans="1:9" ht="31.5">
      <c r="A164" s="43"/>
      <c r="B164" s="1" t="s">
        <v>6</v>
      </c>
      <c r="C164" s="2" t="s">
        <v>130</v>
      </c>
      <c r="D164" s="95" t="s">
        <v>61</v>
      </c>
      <c r="E164" s="34">
        <f>SUM(E165:E168)</f>
        <v>403</v>
      </c>
      <c r="F164" s="34">
        <f>SUM(F165:F168)</f>
        <v>405</v>
      </c>
      <c r="G164" s="32">
        <f t="shared" ref="G164" si="16">F164/E164*100</f>
        <v>100.49627791563276</v>
      </c>
      <c r="H164" s="33"/>
    </row>
    <row r="165" spans="1:9" ht="47.25">
      <c r="A165" s="43"/>
      <c r="B165" s="5" t="s">
        <v>7</v>
      </c>
      <c r="C165" s="6" t="s">
        <v>131</v>
      </c>
      <c r="D165" s="95" t="s">
        <v>61</v>
      </c>
      <c r="E165" s="31">
        <v>13</v>
      </c>
      <c r="F165" s="31">
        <v>14</v>
      </c>
      <c r="G165" s="32">
        <f>F165/E165*100</f>
        <v>107.69230769230769</v>
      </c>
      <c r="H165" s="36"/>
    </row>
    <row r="166" spans="1:9" ht="63">
      <c r="A166" s="43"/>
      <c r="B166" s="5" t="s">
        <v>12</v>
      </c>
      <c r="C166" s="6" t="s">
        <v>132</v>
      </c>
      <c r="D166" s="95" t="s">
        <v>61</v>
      </c>
      <c r="E166" s="31">
        <v>1</v>
      </c>
      <c r="F166" s="31">
        <v>1</v>
      </c>
      <c r="G166" s="32">
        <f t="shared" ref="G166" si="17">F166/E166*100</f>
        <v>100</v>
      </c>
      <c r="H166" s="36"/>
    </row>
    <row r="167" spans="1:9" ht="47.25">
      <c r="A167" s="43"/>
      <c r="B167" s="5" t="s">
        <v>14</v>
      </c>
      <c r="C167" s="6" t="s">
        <v>133</v>
      </c>
      <c r="D167" s="95" t="s">
        <v>61</v>
      </c>
      <c r="E167" s="31">
        <v>160</v>
      </c>
      <c r="F167" s="31">
        <v>159</v>
      </c>
      <c r="G167" s="32">
        <f>F167/E167*100</f>
        <v>99.375</v>
      </c>
      <c r="H167" s="36"/>
    </row>
    <row r="168" spans="1:9">
      <c r="A168" s="43"/>
      <c r="B168" s="5" t="s">
        <v>16</v>
      </c>
      <c r="C168" s="6" t="s">
        <v>134</v>
      </c>
      <c r="D168" s="95" t="s">
        <v>61</v>
      </c>
      <c r="E168" s="31">
        <v>229</v>
      </c>
      <c r="F168" s="31">
        <v>231</v>
      </c>
      <c r="G168" s="32">
        <f t="shared" ref="G168:G169" si="18">F168/E168*100</f>
        <v>100.87336244541486</v>
      </c>
      <c r="H168" s="33"/>
    </row>
    <row r="169" spans="1:9" ht="31.5">
      <c r="A169" s="43"/>
      <c r="B169" s="1" t="s">
        <v>8</v>
      </c>
      <c r="C169" s="2" t="s">
        <v>136</v>
      </c>
      <c r="D169" s="95" t="s">
        <v>61</v>
      </c>
      <c r="E169" s="34">
        <f>E170+E171+E172</f>
        <v>96</v>
      </c>
      <c r="F169" s="34">
        <f>F170+F171+F172</f>
        <v>96</v>
      </c>
      <c r="G169" s="63">
        <f t="shared" si="18"/>
        <v>100</v>
      </c>
      <c r="H169" s="35"/>
    </row>
    <row r="170" spans="1:9" ht="47.25">
      <c r="A170" s="43"/>
      <c r="B170" s="5" t="s">
        <v>62</v>
      </c>
      <c r="C170" s="6" t="s">
        <v>139</v>
      </c>
      <c r="D170" s="95" t="s">
        <v>61</v>
      </c>
      <c r="E170" s="31">
        <v>48</v>
      </c>
      <c r="F170" s="31">
        <v>48</v>
      </c>
      <c r="G170" s="32">
        <f>F170/E170*100</f>
        <v>100</v>
      </c>
      <c r="H170" s="35"/>
    </row>
    <row r="171" spans="1:9">
      <c r="A171" s="43"/>
      <c r="B171" s="5" t="s">
        <v>144</v>
      </c>
      <c r="C171" s="6" t="s">
        <v>141</v>
      </c>
      <c r="D171" s="95" t="s">
        <v>61</v>
      </c>
      <c r="E171" s="31">
        <v>47</v>
      </c>
      <c r="F171" s="31">
        <v>47</v>
      </c>
      <c r="G171" s="32">
        <f t="shared" ref="G171:G208" si="19">F171/E171*100</f>
        <v>100</v>
      </c>
      <c r="H171" s="35"/>
    </row>
    <row r="172" spans="1:9" ht="63">
      <c r="A172" s="67"/>
      <c r="B172" s="5" t="s">
        <v>63</v>
      </c>
      <c r="C172" s="6" t="s">
        <v>86</v>
      </c>
      <c r="D172" s="95" t="s">
        <v>61</v>
      </c>
      <c r="E172" s="31">
        <v>1</v>
      </c>
      <c r="F172" s="31">
        <v>1</v>
      </c>
      <c r="G172" s="32">
        <f t="shared" si="19"/>
        <v>100</v>
      </c>
      <c r="H172" s="35"/>
    </row>
    <row r="173" spans="1:9">
      <c r="A173" s="43"/>
      <c r="B173" s="5" t="s">
        <v>18</v>
      </c>
      <c r="C173" s="2" t="s">
        <v>64</v>
      </c>
      <c r="D173" s="95" t="s">
        <v>61</v>
      </c>
      <c r="E173" s="34">
        <f>E174+E178+E180+E183</f>
        <v>661</v>
      </c>
      <c r="F173" s="34">
        <f>F174+F178+F180+F183</f>
        <v>608</v>
      </c>
      <c r="G173" s="32">
        <f t="shared" si="19"/>
        <v>91.981845688350987</v>
      </c>
      <c r="H173" s="35"/>
      <c r="I173" s="64"/>
    </row>
    <row r="174" spans="1:9" ht="31.5">
      <c r="A174" s="43"/>
      <c r="B174" s="5" t="s">
        <v>145</v>
      </c>
      <c r="C174" s="6" t="s">
        <v>66</v>
      </c>
      <c r="D174" s="95" t="s">
        <v>61</v>
      </c>
      <c r="E174" s="31">
        <f>E175+E176+E177</f>
        <v>215</v>
      </c>
      <c r="F174" s="31">
        <f>F175+F176+F177</f>
        <v>228</v>
      </c>
      <c r="G174" s="32">
        <f t="shared" si="19"/>
        <v>106.04651162790697</v>
      </c>
      <c r="H174" s="35"/>
      <c r="I174" s="64"/>
    </row>
    <row r="175" spans="1:9">
      <c r="A175" s="43"/>
      <c r="B175" s="5"/>
      <c r="C175" s="37" t="s">
        <v>67</v>
      </c>
      <c r="D175" s="95" t="s">
        <v>61</v>
      </c>
      <c r="E175" s="31">
        <v>86</v>
      </c>
      <c r="F175" s="31">
        <v>97</v>
      </c>
      <c r="G175" s="32">
        <f t="shared" si="19"/>
        <v>112.79069767441861</v>
      </c>
      <c r="H175" s="39"/>
      <c r="I175" s="64"/>
    </row>
    <row r="176" spans="1:9">
      <c r="A176" s="43"/>
      <c r="B176" s="5"/>
      <c r="C176" s="37" t="s">
        <v>68</v>
      </c>
      <c r="D176" s="95" t="s">
        <v>61</v>
      </c>
      <c r="E176" s="31">
        <v>103</v>
      </c>
      <c r="F176" s="31">
        <v>109</v>
      </c>
      <c r="G176" s="32">
        <f t="shared" si="19"/>
        <v>105.8252427184466</v>
      </c>
      <c r="H176" s="39"/>
      <c r="I176" s="64"/>
    </row>
    <row r="177" spans="1:9">
      <c r="A177" s="43"/>
      <c r="B177" s="5"/>
      <c r="C177" s="37" t="s">
        <v>69</v>
      </c>
      <c r="D177" s="95" t="s">
        <v>61</v>
      </c>
      <c r="E177" s="31">
        <v>26</v>
      </c>
      <c r="F177" s="31">
        <v>22</v>
      </c>
      <c r="G177" s="32">
        <f t="shared" si="19"/>
        <v>84.615384615384613</v>
      </c>
      <c r="H177" s="39"/>
      <c r="I177" s="64"/>
    </row>
    <row r="178" spans="1:9" ht="31.5">
      <c r="A178" s="43"/>
      <c r="B178" s="5" t="s">
        <v>146</v>
      </c>
      <c r="C178" s="6" t="s">
        <v>71</v>
      </c>
      <c r="D178" s="95" t="s">
        <v>61</v>
      </c>
      <c r="E178" s="31">
        <f>E179</f>
        <v>0</v>
      </c>
      <c r="F178" s="31">
        <f>F179</f>
        <v>1</v>
      </c>
      <c r="G178" s="32"/>
      <c r="H178" s="39"/>
    </row>
    <row r="179" spans="1:9">
      <c r="A179" s="43"/>
      <c r="B179" s="5"/>
      <c r="C179" s="37" t="s">
        <v>67</v>
      </c>
      <c r="D179" s="95" t="s">
        <v>61</v>
      </c>
      <c r="E179" s="31">
        <v>0</v>
      </c>
      <c r="F179" s="31">
        <v>1</v>
      </c>
      <c r="G179" s="32"/>
      <c r="H179" s="39"/>
    </row>
    <row r="180" spans="1:9" ht="63">
      <c r="A180" s="43"/>
      <c r="B180" s="5" t="s">
        <v>147</v>
      </c>
      <c r="C180" s="6" t="s">
        <v>73</v>
      </c>
      <c r="D180" s="95" t="s">
        <v>61</v>
      </c>
      <c r="E180" s="31">
        <f>E181+E182</f>
        <v>224</v>
      </c>
      <c r="F180" s="31">
        <f>F181+F182</f>
        <v>180</v>
      </c>
      <c r="G180" s="32">
        <f t="shared" si="19"/>
        <v>80.357142857142861</v>
      </c>
      <c r="H180" s="39" t="s">
        <v>81</v>
      </c>
    </row>
    <row r="181" spans="1:9">
      <c r="A181" s="43"/>
      <c r="B181" s="5"/>
      <c r="C181" s="37" t="s">
        <v>68</v>
      </c>
      <c r="D181" s="95" t="s">
        <v>61</v>
      </c>
      <c r="E181" s="31">
        <v>155</v>
      </c>
      <c r="F181" s="31">
        <v>142</v>
      </c>
      <c r="G181" s="32">
        <f t="shared" si="19"/>
        <v>91.612903225806448</v>
      </c>
      <c r="H181" s="39"/>
    </row>
    <row r="182" spans="1:9">
      <c r="A182" s="43"/>
      <c r="B182" s="5"/>
      <c r="C182" s="37" t="s">
        <v>69</v>
      </c>
      <c r="D182" s="95" t="s">
        <v>61</v>
      </c>
      <c r="E182" s="31">
        <v>69</v>
      </c>
      <c r="F182" s="31">
        <v>38</v>
      </c>
      <c r="G182" s="32">
        <f t="shared" si="19"/>
        <v>55.072463768115945</v>
      </c>
      <c r="H182" s="39"/>
    </row>
    <row r="183" spans="1:9" ht="47.25">
      <c r="A183" s="65"/>
      <c r="B183" s="5" t="s">
        <v>148</v>
      </c>
      <c r="C183" s="6" t="s">
        <v>75</v>
      </c>
      <c r="D183" s="95" t="s">
        <v>61</v>
      </c>
      <c r="E183" s="31">
        <f>E184</f>
        <v>222</v>
      </c>
      <c r="F183" s="31">
        <f>F184</f>
        <v>199</v>
      </c>
      <c r="G183" s="32">
        <f t="shared" si="19"/>
        <v>89.63963963963964</v>
      </c>
      <c r="H183" s="39"/>
    </row>
    <row r="184" spans="1:9">
      <c r="A184" s="43"/>
      <c r="B184" s="5"/>
      <c r="C184" s="37" t="s">
        <v>67</v>
      </c>
      <c r="D184" s="95" t="s">
        <v>61</v>
      </c>
      <c r="E184" s="31">
        <v>222</v>
      </c>
      <c r="F184" s="31">
        <v>199</v>
      </c>
      <c r="G184" s="32">
        <f t="shared" si="19"/>
        <v>89.63963963963964</v>
      </c>
      <c r="H184" s="39"/>
    </row>
    <row r="185" spans="1:9">
      <c r="A185" s="43"/>
      <c r="B185" s="5" t="s">
        <v>21</v>
      </c>
      <c r="C185" s="2" t="s">
        <v>31</v>
      </c>
      <c r="D185" s="95" t="s">
        <v>76</v>
      </c>
      <c r="E185" s="34">
        <f>E186</f>
        <v>140</v>
      </c>
      <c r="F185" s="34">
        <f>F186</f>
        <v>140</v>
      </c>
      <c r="G185" s="32">
        <f t="shared" si="19"/>
        <v>100</v>
      </c>
      <c r="H185" s="35"/>
    </row>
    <row r="186" spans="1:9">
      <c r="A186" s="43"/>
      <c r="B186" s="5" t="s">
        <v>149</v>
      </c>
      <c r="C186" s="6" t="s">
        <v>142</v>
      </c>
      <c r="D186" s="95" t="s">
        <v>76</v>
      </c>
      <c r="E186" s="34">
        <v>140</v>
      </c>
      <c r="F186" s="34">
        <v>140</v>
      </c>
      <c r="G186" s="32">
        <f t="shared" si="19"/>
        <v>100</v>
      </c>
      <c r="H186" s="35"/>
    </row>
    <row r="187" spans="1:9">
      <c r="A187" s="43"/>
      <c r="B187" s="72" t="s">
        <v>173</v>
      </c>
      <c r="C187" s="13" t="s">
        <v>87</v>
      </c>
      <c r="D187" s="103"/>
      <c r="E187" s="14">
        <f>E188+E191+E195+E198+E208</f>
        <v>2245</v>
      </c>
      <c r="F187" s="14">
        <f>F188+F191+F195+F198+F208</f>
        <v>2133</v>
      </c>
      <c r="G187" s="69">
        <f t="shared" si="19"/>
        <v>95.011135857461028</v>
      </c>
      <c r="H187" s="55"/>
    </row>
    <row r="188" spans="1:9" ht="31.5">
      <c r="A188" s="43"/>
      <c r="B188" s="1" t="s">
        <v>4</v>
      </c>
      <c r="C188" s="2" t="s">
        <v>125</v>
      </c>
      <c r="D188" s="96" t="s">
        <v>61</v>
      </c>
      <c r="E188" s="61">
        <f>SUM(E189:E190)</f>
        <v>429</v>
      </c>
      <c r="F188" s="61">
        <f>SUM(F189:F190)</f>
        <v>432</v>
      </c>
      <c r="G188" s="51">
        <f t="shared" si="19"/>
        <v>100.69930069930071</v>
      </c>
      <c r="H188" s="62"/>
    </row>
    <row r="189" spans="1:9" ht="47.25">
      <c r="A189" s="43"/>
      <c r="B189" s="5" t="s">
        <v>26</v>
      </c>
      <c r="C189" s="6" t="s">
        <v>126</v>
      </c>
      <c r="D189" s="95" t="s">
        <v>61</v>
      </c>
      <c r="E189" s="31">
        <v>6</v>
      </c>
      <c r="F189" s="31">
        <v>8</v>
      </c>
      <c r="G189" s="32">
        <f t="shared" si="19"/>
        <v>133.33333333333331</v>
      </c>
      <c r="H189" s="33"/>
    </row>
    <row r="190" spans="1:9">
      <c r="A190" s="43"/>
      <c r="B190" s="5" t="s">
        <v>27</v>
      </c>
      <c r="C190" s="6" t="s">
        <v>128</v>
      </c>
      <c r="D190" s="95" t="s">
        <v>61</v>
      </c>
      <c r="E190" s="31">
        <v>423</v>
      </c>
      <c r="F190" s="31">
        <v>424</v>
      </c>
      <c r="G190" s="32">
        <f>F190/E190*100</f>
        <v>100.23640661938533</v>
      </c>
      <c r="H190" s="35"/>
    </row>
    <row r="191" spans="1:9" ht="31.5">
      <c r="A191" s="43"/>
      <c r="B191" s="1" t="s">
        <v>6</v>
      </c>
      <c r="C191" s="2" t="s">
        <v>130</v>
      </c>
      <c r="D191" s="95" t="s">
        <v>61</v>
      </c>
      <c r="E191" s="34">
        <f>SUM(E192:E194)</f>
        <v>491</v>
      </c>
      <c r="F191" s="34">
        <f>SUM(F192:F194)</f>
        <v>488</v>
      </c>
      <c r="G191" s="32">
        <f t="shared" ref="G191" si="20">F191/E191*100</f>
        <v>99.389002036659875</v>
      </c>
      <c r="H191" s="33"/>
    </row>
    <row r="192" spans="1:9" ht="47.25">
      <c r="A192" s="43"/>
      <c r="B192" s="5" t="s">
        <v>7</v>
      </c>
      <c r="C192" s="6" t="s">
        <v>131</v>
      </c>
      <c r="D192" s="95" t="s">
        <v>61</v>
      </c>
      <c r="E192" s="31">
        <v>9</v>
      </c>
      <c r="F192" s="31">
        <v>9</v>
      </c>
      <c r="G192" s="32">
        <f>F192/E192*100</f>
        <v>100</v>
      </c>
      <c r="H192" s="36"/>
    </row>
    <row r="193" spans="1:8">
      <c r="A193" s="43"/>
      <c r="B193" s="5" t="s">
        <v>12</v>
      </c>
      <c r="C193" s="6" t="s">
        <v>134</v>
      </c>
      <c r="D193" s="95" t="s">
        <v>61</v>
      </c>
      <c r="E193" s="31">
        <v>481</v>
      </c>
      <c r="F193" s="31">
        <v>478</v>
      </c>
      <c r="G193" s="32">
        <f t="shared" ref="G193:G196" si="21">F193/E193*100</f>
        <v>99.376299376299386</v>
      </c>
      <c r="H193" s="33"/>
    </row>
    <row r="194" spans="1:8" ht="31.5">
      <c r="A194" s="43"/>
      <c r="B194" s="5" t="s">
        <v>14</v>
      </c>
      <c r="C194" s="6" t="s">
        <v>135</v>
      </c>
      <c r="D194" s="95" t="s">
        <v>61</v>
      </c>
      <c r="E194" s="31">
        <v>1</v>
      </c>
      <c r="F194" s="31">
        <v>1</v>
      </c>
      <c r="G194" s="32">
        <f t="shared" si="21"/>
        <v>100</v>
      </c>
      <c r="H194" s="35"/>
    </row>
    <row r="195" spans="1:8" ht="31.5">
      <c r="A195" s="43"/>
      <c r="B195" s="1" t="s">
        <v>8</v>
      </c>
      <c r="C195" s="2" t="s">
        <v>136</v>
      </c>
      <c r="D195" s="95" t="s">
        <v>61</v>
      </c>
      <c r="E195" s="34">
        <f>SUM(E196:E197)</f>
        <v>98</v>
      </c>
      <c r="F195" s="34">
        <f>SUM(F196:F197)</f>
        <v>98</v>
      </c>
      <c r="G195" s="63">
        <f t="shared" si="21"/>
        <v>100</v>
      </c>
      <c r="H195" s="35"/>
    </row>
    <row r="196" spans="1:8" ht="47.25">
      <c r="A196" s="43"/>
      <c r="B196" s="5" t="s">
        <v>62</v>
      </c>
      <c r="C196" s="6" t="s">
        <v>137</v>
      </c>
      <c r="D196" s="95" t="s">
        <v>61</v>
      </c>
      <c r="E196" s="31">
        <v>1</v>
      </c>
      <c r="F196" s="31">
        <v>0</v>
      </c>
      <c r="G196" s="32">
        <f t="shared" si="21"/>
        <v>0</v>
      </c>
      <c r="H196" s="35"/>
    </row>
    <row r="197" spans="1:8" ht="47.25">
      <c r="A197" s="43"/>
      <c r="B197" s="5" t="s">
        <v>144</v>
      </c>
      <c r="C197" s="6" t="s">
        <v>139</v>
      </c>
      <c r="D197" s="95" t="s">
        <v>61</v>
      </c>
      <c r="E197" s="31">
        <v>97</v>
      </c>
      <c r="F197" s="31">
        <v>98</v>
      </c>
      <c r="G197" s="32">
        <f>F197/E197*100</f>
        <v>101.03092783505154</v>
      </c>
      <c r="H197" s="35"/>
    </row>
    <row r="198" spans="1:8">
      <c r="A198" s="43"/>
      <c r="B198" s="5" t="s">
        <v>18</v>
      </c>
      <c r="C198" s="2" t="s">
        <v>64</v>
      </c>
      <c r="D198" s="95" t="s">
        <v>61</v>
      </c>
      <c r="E198" s="34">
        <f>E199+E203+E206</f>
        <v>907</v>
      </c>
      <c r="F198" s="34">
        <f>F199+F203+F206</f>
        <v>885</v>
      </c>
      <c r="G198" s="32">
        <f t="shared" si="19"/>
        <v>97.574421168687991</v>
      </c>
      <c r="H198" s="35"/>
    </row>
    <row r="199" spans="1:8" ht="31.5">
      <c r="A199" s="43"/>
      <c r="B199" s="5" t="s">
        <v>145</v>
      </c>
      <c r="C199" s="6" t="s">
        <v>66</v>
      </c>
      <c r="D199" s="95" t="s">
        <v>61</v>
      </c>
      <c r="E199" s="31">
        <f>E200+E201+E202</f>
        <v>286</v>
      </c>
      <c r="F199" s="41">
        <f>F200+F201+F202</f>
        <v>292</v>
      </c>
      <c r="G199" s="32">
        <f t="shared" si="19"/>
        <v>102.09790209790211</v>
      </c>
      <c r="H199" s="35"/>
    </row>
    <row r="200" spans="1:8">
      <c r="A200" s="43"/>
      <c r="B200" s="5"/>
      <c r="C200" s="37" t="s">
        <v>67</v>
      </c>
      <c r="D200" s="95" t="s">
        <v>61</v>
      </c>
      <c r="E200" s="31">
        <v>134</v>
      </c>
      <c r="F200" s="31">
        <v>138</v>
      </c>
      <c r="G200" s="32">
        <f t="shared" si="19"/>
        <v>102.98507462686568</v>
      </c>
      <c r="H200" s="39"/>
    </row>
    <row r="201" spans="1:8">
      <c r="A201" s="43"/>
      <c r="B201" s="5"/>
      <c r="C201" s="37" t="s">
        <v>68</v>
      </c>
      <c r="D201" s="95" t="s">
        <v>61</v>
      </c>
      <c r="E201" s="31">
        <v>131</v>
      </c>
      <c r="F201" s="31">
        <v>133</v>
      </c>
      <c r="G201" s="32">
        <f t="shared" si="19"/>
        <v>101.52671755725191</v>
      </c>
      <c r="H201" s="39"/>
    </row>
    <row r="202" spans="1:8">
      <c r="A202" s="43"/>
      <c r="B202" s="5"/>
      <c r="C202" s="37" t="s">
        <v>69</v>
      </c>
      <c r="D202" s="95" t="s">
        <v>61</v>
      </c>
      <c r="E202" s="31">
        <v>21</v>
      </c>
      <c r="F202" s="31">
        <v>21</v>
      </c>
      <c r="G202" s="32">
        <f t="shared" si="19"/>
        <v>100</v>
      </c>
      <c r="H202" s="39"/>
    </row>
    <row r="203" spans="1:8" ht="63">
      <c r="A203" s="43"/>
      <c r="B203" s="5" t="s">
        <v>146</v>
      </c>
      <c r="C203" s="6" t="s">
        <v>73</v>
      </c>
      <c r="D203" s="95" t="s">
        <v>61</v>
      </c>
      <c r="E203" s="31">
        <f>E204+E205</f>
        <v>326</v>
      </c>
      <c r="F203" s="31">
        <f>F204+F205</f>
        <v>299</v>
      </c>
      <c r="G203" s="32">
        <f t="shared" si="19"/>
        <v>91.717791411042953</v>
      </c>
      <c r="H203" s="39" t="s">
        <v>81</v>
      </c>
    </row>
    <row r="204" spans="1:8">
      <c r="A204" s="43"/>
      <c r="B204" s="5"/>
      <c r="C204" s="37" t="s">
        <v>68</v>
      </c>
      <c r="D204" s="95" t="s">
        <v>61</v>
      </c>
      <c r="E204" s="31">
        <v>272</v>
      </c>
      <c r="F204" s="31">
        <v>251</v>
      </c>
      <c r="G204" s="32">
        <f t="shared" si="19"/>
        <v>92.279411764705884</v>
      </c>
      <c r="H204" s="39"/>
    </row>
    <row r="205" spans="1:8">
      <c r="A205" s="43"/>
      <c r="B205" s="5"/>
      <c r="C205" s="37" t="s">
        <v>69</v>
      </c>
      <c r="D205" s="95" t="s">
        <v>61</v>
      </c>
      <c r="E205" s="31">
        <v>54</v>
      </c>
      <c r="F205" s="31">
        <v>48</v>
      </c>
      <c r="G205" s="32">
        <f t="shared" si="19"/>
        <v>88.888888888888886</v>
      </c>
      <c r="H205" s="39"/>
    </row>
    <row r="206" spans="1:8" ht="47.25">
      <c r="A206" s="65"/>
      <c r="B206" s="5" t="s">
        <v>147</v>
      </c>
      <c r="C206" s="6" t="s">
        <v>75</v>
      </c>
      <c r="D206" s="95" t="s">
        <v>61</v>
      </c>
      <c r="E206" s="31">
        <f>E207</f>
        <v>295</v>
      </c>
      <c r="F206" s="31">
        <f>F207</f>
        <v>294</v>
      </c>
      <c r="G206" s="32">
        <f t="shared" si="19"/>
        <v>99.661016949152554</v>
      </c>
      <c r="H206" s="39"/>
    </row>
    <row r="207" spans="1:8">
      <c r="A207" s="43"/>
      <c r="B207" s="5"/>
      <c r="C207" s="37" t="s">
        <v>67</v>
      </c>
      <c r="D207" s="95" t="s">
        <v>61</v>
      </c>
      <c r="E207" s="31">
        <v>295</v>
      </c>
      <c r="F207" s="31">
        <v>294</v>
      </c>
      <c r="G207" s="32">
        <f t="shared" si="19"/>
        <v>99.661016949152554</v>
      </c>
      <c r="H207" s="39"/>
    </row>
    <row r="208" spans="1:8">
      <c r="A208" s="43"/>
      <c r="B208" s="5" t="s">
        <v>21</v>
      </c>
      <c r="C208" s="2" t="s">
        <v>31</v>
      </c>
      <c r="D208" s="95" t="s">
        <v>76</v>
      </c>
      <c r="E208" s="34">
        <f>E209</f>
        <v>320</v>
      </c>
      <c r="F208" s="34">
        <f>F209</f>
        <v>230</v>
      </c>
      <c r="G208" s="32">
        <f t="shared" si="19"/>
        <v>71.875</v>
      </c>
      <c r="H208" s="35"/>
    </row>
    <row r="209" spans="1:16">
      <c r="A209" s="43"/>
      <c r="B209" s="5" t="s">
        <v>149</v>
      </c>
      <c r="C209" s="6" t="s">
        <v>142</v>
      </c>
      <c r="D209" s="95" t="s">
        <v>76</v>
      </c>
      <c r="E209" s="34">
        <v>320</v>
      </c>
      <c r="F209" s="34">
        <f>320-90</f>
        <v>230</v>
      </c>
      <c r="G209" s="32">
        <f>F209/E209*100</f>
        <v>71.875</v>
      </c>
      <c r="H209" s="35"/>
    </row>
    <row r="210" spans="1:16" s="19" customFormat="1">
      <c r="B210" s="72" t="s">
        <v>174</v>
      </c>
      <c r="C210" s="13" t="s">
        <v>88</v>
      </c>
      <c r="D210" s="104"/>
      <c r="E210" s="14">
        <f>E211+E214</f>
        <v>464</v>
      </c>
      <c r="F210" s="14">
        <f>F211+F214</f>
        <v>462</v>
      </c>
      <c r="G210" s="15">
        <f>F210/E210*100</f>
        <v>99.568965517241381</v>
      </c>
      <c r="H210" s="16"/>
      <c r="I210" s="59"/>
      <c r="J210" s="59"/>
      <c r="K210" s="59"/>
      <c r="L210" s="59"/>
      <c r="M210" s="59"/>
      <c r="N210" s="59"/>
      <c r="O210" s="59"/>
      <c r="P210" s="59"/>
    </row>
    <row r="211" spans="1:16">
      <c r="B211" s="1" t="s">
        <v>4</v>
      </c>
      <c r="C211" s="2" t="s">
        <v>89</v>
      </c>
      <c r="D211" s="95" t="s">
        <v>90</v>
      </c>
      <c r="E211" s="4">
        <f>E212+E213</f>
        <v>232</v>
      </c>
      <c r="F211" s="4">
        <f>F212+F213</f>
        <v>231</v>
      </c>
      <c r="G211" s="9">
        <f>F211/E211*100</f>
        <v>99.568965517241381</v>
      </c>
      <c r="H211" s="68"/>
      <c r="I211" s="44"/>
      <c r="J211" s="44"/>
      <c r="K211" s="44"/>
      <c r="L211" s="44"/>
      <c r="M211" s="44"/>
      <c r="N211" s="44"/>
      <c r="O211" s="44"/>
      <c r="P211" s="44"/>
    </row>
    <row r="212" spans="1:16">
      <c r="B212" s="5" t="s">
        <v>26</v>
      </c>
      <c r="C212" s="6" t="s">
        <v>91</v>
      </c>
      <c r="D212" s="95" t="s">
        <v>90</v>
      </c>
      <c r="E212" s="7">
        <v>231</v>
      </c>
      <c r="F212" s="7">
        <v>231</v>
      </c>
      <c r="G212" s="10">
        <f t="shared" ref="G212:G216" si="22">F212/E212*100</f>
        <v>100</v>
      </c>
      <c r="H212" s="35"/>
      <c r="J212" s="836"/>
    </row>
    <row r="213" spans="1:16" ht="31.5">
      <c r="B213" s="5" t="s">
        <v>27</v>
      </c>
      <c r="C213" s="6" t="s">
        <v>92</v>
      </c>
      <c r="D213" s="95" t="s">
        <v>90</v>
      </c>
      <c r="E213" s="7">
        <v>1</v>
      </c>
      <c r="F213" s="7">
        <v>0</v>
      </c>
      <c r="G213" s="10">
        <f t="shared" si="22"/>
        <v>0</v>
      </c>
      <c r="H213" s="35" t="s">
        <v>93</v>
      </c>
      <c r="J213" s="836"/>
    </row>
    <row r="214" spans="1:16">
      <c r="B214" s="1" t="s">
        <v>95</v>
      </c>
      <c r="C214" s="2" t="s">
        <v>96</v>
      </c>
      <c r="D214" s="95" t="s">
        <v>61</v>
      </c>
      <c r="E214" s="4">
        <f>E215+E216+E217</f>
        <v>232</v>
      </c>
      <c r="F214" s="4">
        <f>F215+F216+F217</f>
        <v>231</v>
      </c>
      <c r="G214" s="9">
        <f t="shared" si="22"/>
        <v>99.568965517241381</v>
      </c>
      <c r="H214" s="35"/>
      <c r="J214" s="836"/>
    </row>
    <row r="215" spans="1:16" ht="31.5">
      <c r="B215" s="5" t="s">
        <v>7</v>
      </c>
      <c r="C215" s="6" t="s">
        <v>98</v>
      </c>
      <c r="D215" s="95" t="s">
        <v>61</v>
      </c>
      <c r="E215" s="7">
        <v>46</v>
      </c>
      <c r="F215" s="7">
        <v>39</v>
      </c>
      <c r="G215" s="10">
        <f t="shared" si="22"/>
        <v>84.782608695652172</v>
      </c>
      <c r="H215" s="35" t="s">
        <v>93</v>
      </c>
      <c r="J215" s="836"/>
    </row>
    <row r="216" spans="1:16" ht="31.5">
      <c r="B216" s="5" t="s">
        <v>12</v>
      </c>
      <c r="C216" s="6" t="s">
        <v>100</v>
      </c>
      <c r="D216" s="95" t="s">
        <v>61</v>
      </c>
      <c r="E216" s="7">
        <v>166</v>
      </c>
      <c r="F216" s="7">
        <v>172</v>
      </c>
      <c r="G216" s="10">
        <f t="shared" si="22"/>
        <v>103.6144578313253</v>
      </c>
      <c r="H216" s="35" t="s">
        <v>101</v>
      </c>
      <c r="J216" s="836"/>
    </row>
    <row r="217" spans="1:16" ht="31.5">
      <c r="B217" s="5" t="s">
        <v>14</v>
      </c>
      <c r="C217" s="6" t="s">
        <v>102</v>
      </c>
      <c r="D217" s="95" t="s">
        <v>61</v>
      </c>
      <c r="E217" s="7">
        <v>20</v>
      </c>
      <c r="F217" s="7">
        <v>20</v>
      </c>
      <c r="G217" s="10">
        <f t="shared" ref="G217" si="23">F217/E217*100</f>
        <v>100</v>
      </c>
      <c r="H217" s="35"/>
      <c r="J217" s="836"/>
    </row>
    <row r="218" spans="1:16">
      <c r="B218" s="72" t="s">
        <v>175</v>
      </c>
      <c r="C218" s="13" t="s">
        <v>103</v>
      </c>
      <c r="D218" s="105"/>
      <c r="E218" s="14">
        <f>E219+E223</f>
        <v>742</v>
      </c>
      <c r="F218" s="14">
        <f>F219+F223</f>
        <v>744</v>
      </c>
      <c r="G218" s="15">
        <f>F218/E218*100</f>
        <v>100.26954177897574</v>
      </c>
      <c r="H218" s="16"/>
      <c r="I218" s="44"/>
      <c r="J218" s="44"/>
      <c r="K218" s="44"/>
      <c r="L218" s="44"/>
      <c r="M218" s="44"/>
      <c r="N218" s="44"/>
      <c r="O218" s="44"/>
      <c r="P218" s="44"/>
    </row>
    <row r="219" spans="1:16">
      <c r="B219" s="1" t="s">
        <v>4</v>
      </c>
      <c r="C219" s="2" t="s">
        <v>89</v>
      </c>
      <c r="D219" s="95" t="s">
        <v>90</v>
      </c>
      <c r="E219" s="4">
        <f>E220+E221+E222</f>
        <v>371</v>
      </c>
      <c r="F219" s="4">
        <f>F220+F221+F222</f>
        <v>372</v>
      </c>
      <c r="G219" s="9">
        <f>F219/E219*100</f>
        <v>100.26954177897574</v>
      </c>
      <c r="H219" s="68"/>
      <c r="I219" s="44"/>
      <c r="J219" s="44"/>
      <c r="K219" s="44"/>
      <c r="L219" s="44"/>
      <c r="M219" s="44"/>
      <c r="N219" s="44"/>
      <c r="O219" s="44"/>
      <c r="P219" s="44"/>
    </row>
    <row r="220" spans="1:16" ht="31.5">
      <c r="B220" s="5" t="s">
        <v>26</v>
      </c>
      <c r="C220" s="6" t="s">
        <v>91</v>
      </c>
      <c r="D220" s="95" t="s">
        <v>90</v>
      </c>
      <c r="E220" s="7">
        <v>351</v>
      </c>
      <c r="F220" s="7">
        <v>347</v>
      </c>
      <c r="G220" s="10">
        <f t="shared" ref="G220:G225" si="24">F220/E220*100</f>
        <v>98.86039886039886</v>
      </c>
      <c r="H220" s="35" t="s">
        <v>93</v>
      </c>
    </row>
    <row r="221" spans="1:16" ht="31.5">
      <c r="B221" s="5" t="s">
        <v>27</v>
      </c>
      <c r="C221" s="6" t="s">
        <v>92</v>
      </c>
      <c r="D221" s="95" t="s">
        <v>90</v>
      </c>
      <c r="E221" s="7">
        <v>17</v>
      </c>
      <c r="F221" s="7">
        <v>23</v>
      </c>
      <c r="G221" s="10">
        <f t="shared" si="24"/>
        <v>135.29411764705884</v>
      </c>
      <c r="H221" s="35" t="s">
        <v>101</v>
      </c>
    </row>
    <row r="222" spans="1:16" ht="31.5">
      <c r="B222" s="5" t="s">
        <v>28</v>
      </c>
      <c r="C222" s="6" t="s">
        <v>94</v>
      </c>
      <c r="D222" s="95" t="s">
        <v>90</v>
      </c>
      <c r="E222" s="7">
        <v>3</v>
      </c>
      <c r="F222" s="7">
        <v>2</v>
      </c>
      <c r="G222" s="10">
        <f t="shared" si="24"/>
        <v>66.666666666666657</v>
      </c>
      <c r="H222" s="35" t="s">
        <v>93</v>
      </c>
    </row>
    <row r="223" spans="1:16">
      <c r="B223" s="1" t="s">
        <v>95</v>
      </c>
      <c r="C223" s="2" t="s">
        <v>96</v>
      </c>
      <c r="D223" s="95" t="s">
        <v>61</v>
      </c>
      <c r="E223" s="4">
        <f>E224+E225+E226</f>
        <v>371</v>
      </c>
      <c r="F223" s="4">
        <f>F224+F225+F226</f>
        <v>372</v>
      </c>
      <c r="G223" s="9">
        <f t="shared" si="24"/>
        <v>100.26954177897574</v>
      </c>
      <c r="H223" s="35"/>
    </row>
    <row r="224" spans="1:16" ht="31.5">
      <c r="B224" s="5" t="s">
        <v>7</v>
      </c>
      <c r="C224" s="6" t="s">
        <v>98</v>
      </c>
      <c r="D224" s="95" t="s">
        <v>61</v>
      </c>
      <c r="E224" s="7">
        <v>40</v>
      </c>
      <c r="F224" s="7">
        <v>28</v>
      </c>
      <c r="G224" s="10">
        <f t="shared" si="24"/>
        <v>70</v>
      </c>
      <c r="H224" s="35" t="s">
        <v>93</v>
      </c>
    </row>
    <row r="225" spans="2:16" ht="31.5">
      <c r="B225" s="5" t="s">
        <v>12</v>
      </c>
      <c r="C225" s="6" t="s">
        <v>100</v>
      </c>
      <c r="D225" s="95" t="s">
        <v>61</v>
      </c>
      <c r="E225" s="7">
        <v>255</v>
      </c>
      <c r="F225" s="7">
        <v>275</v>
      </c>
      <c r="G225" s="10">
        <f t="shared" si="24"/>
        <v>107.84313725490196</v>
      </c>
      <c r="H225" s="35" t="s">
        <v>101</v>
      </c>
    </row>
    <row r="226" spans="2:16" ht="31.5">
      <c r="B226" s="5" t="s">
        <v>14</v>
      </c>
      <c r="C226" s="6" t="s">
        <v>102</v>
      </c>
      <c r="D226" s="95" t="s">
        <v>61</v>
      </c>
      <c r="E226" s="7">
        <v>76</v>
      </c>
      <c r="F226" s="7">
        <v>69</v>
      </c>
      <c r="G226" s="10">
        <f t="shared" ref="G226" si="25">F226/E226*100</f>
        <v>90.789473684210535</v>
      </c>
      <c r="H226" s="35" t="s">
        <v>93</v>
      </c>
    </row>
    <row r="227" spans="2:16" s="19" customFormat="1">
      <c r="B227" s="72" t="s">
        <v>176</v>
      </c>
      <c r="C227" s="13" t="s">
        <v>104</v>
      </c>
      <c r="D227" s="105"/>
      <c r="E227" s="14">
        <f>E228+E232</f>
        <v>568</v>
      </c>
      <c r="F227" s="14">
        <f>F228+F232</f>
        <v>568</v>
      </c>
      <c r="G227" s="15">
        <f>F227/E227*100</f>
        <v>100</v>
      </c>
      <c r="H227" s="16"/>
      <c r="I227" s="59"/>
      <c r="J227" s="59"/>
      <c r="K227" s="59"/>
      <c r="L227" s="59"/>
      <c r="M227" s="59"/>
      <c r="N227" s="59"/>
      <c r="O227" s="59"/>
      <c r="P227" s="59"/>
    </row>
    <row r="228" spans="2:16">
      <c r="B228" s="1" t="s">
        <v>4</v>
      </c>
      <c r="C228" s="2" t="s">
        <v>89</v>
      </c>
      <c r="D228" s="95" t="s">
        <v>90</v>
      </c>
      <c r="E228" s="4">
        <f>E229+E230+E231</f>
        <v>284</v>
      </c>
      <c r="F228" s="4">
        <f>F229+F230+F231</f>
        <v>284</v>
      </c>
      <c r="G228" s="9">
        <f>F228/E228*100</f>
        <v>100</v>
      </c>
      <c r="H228" s="45"/>
      <c r="I228" s="44"/>
      <c r="J228" s="44"/>
      <c r="K228" s="44"/>
      <c r="L228" s="44"/>
      <c r="M228" s="44"/>
      <c r="N228" s="44"/>
      <c r="O228" s="44"/>
      <c r="P228" s="44"/>
    </row>
    <row r="229" spans="2:16" ht="31.5">
      <c r="B229" s="5" t="s">
        <v>26</v>
      </c>
      <c r="C229" s="6" t="s">
        <v>91</v>
      </c>
      <c r="D229" s="95" t="s">
        <v>90</v>
      </c>
      <c r="E229" s="7">
        <v>280</v>
      </c>
      <c r="F229" s="7">
        <v>278</v>
      </c>
      <c r="G229" s="10">
        <f t="shared" ref="G229:G234" si="26">F229/E229*100</f>
        <v>99.285714285714292</v>
      </c>
      <c r="H229" s="35" t="s">
        <v>93</v>
      </c>
    </row>
    <row r="230" spans="2:16" ht="31.5">
      <c r="B230" s="5" t="s">
        <v>27</v>
      </c>
      <c r="C230" s="6" t="s">
        <v>92</v>
      </c>
      <c r="D230" s="95" t="s">
        <v>90</v>
      </c>
      <c r="E230" s="7">
        <v>2</v>
      </c>
      <c r="F230" s="7">
        <v>3</v>
      </c>
      <c r="G230" s="10">
        <f t="shared" si="26"/>
        <v>150</v>
      </c>
      <c r="H230" s="35" t="s">
        <v>101</v>
      </c>
    </row>
    <row r="231" spans="2:16" ht="31.5">
      <c r="B231" s="5" t="s">
        <v>28</v>
      </c>
      <c r="C231" s="6" t="s">
        <v>94</v>
      </c>
      <c r="D231" s="95" t="s">
        <v>90</v>
      </c>
      <c r="E231" s="7">
        <v>2</v>
      </c>
      <c r="F231" s="7">
        <v>3</v>
      </c>
      <c r="G231" s="10">
        <f t="shared" si="26"/>
        <v>150</v>
      </c>
      <c r="H231" s="35" t="s">
        <v>101</v>
      </c>
    </row>
    <row r="232" spans="2:16">
      <c r="B232" s="1" t="s">
        <v>95</v>
      </c>
      <c r="C232" s="2" t="s">
        <v>96</v>
      </c>
      <c r="D232" s="95" t="s">
        <v>61</v>
      </c>
      <c r="E232" s="4">
        <f>E233+E234+E235</f>
        <v>284</v>
      </c>
      <c r="F232" s="4">
        <f>F233+F234+F235</f>
        <v>284</v>
      </c>
      <c r="G232" s="9">
        <f t="shared" si="26"/>
        <v>100</v>
      </c>
      <c r="H232" s="46"/>
    </row>
    <row r="233" spans="2:16" ht="31.5">
      <c r="B233" s="5" t="s">
        <v>97</v>
      </c>
      <c r="C233" s="6" t="s">
        <v>98</v>
      </c>
      <c r="D233" s="95" t="s">
        <v>61</v>
      </c>
      <c r="E233" s="7">
        <v>59</v>
      </c>
      <c r="F233" s="7">
        <v>52</v>
      </c>
      <c r="G233" s="10">
        <f t="shared" si="26"/>
        <v>88.135593220338976</v>
      </c>
      <c r="H233" s="35" t="s">
        <v>93</v>
      </c>
    </row>
    <row r="234" spans="2:16" ht="31.5">
      <c r="B234" s="5" t="s">
        <v>99</v>
      </c>
      <c r="C234" s="6" t="s">
        <v>100</v>
      </c>
      <c r="D234" s="95" t="s">
        <v>61</v>
      </c>
      <c r="E234" s="7">
        <v>215</v>
      </c>
      <c r="F234" s="7">
        <v>222</v>
      </c>
      <c r="G234" s="10">
        <f t="shared" si="26"/>
        <v>103.25581395348837</v>
      </c>
      <c r="H234" s="35" t="s">
        <v>101</v>
      </c>
    </row>
    <row r="235" spans="2:16" ht="31.5">
      <c r="B235" s="5" t="s">
        <v>14</v>
      </c>
      <c r="C235" s="6" t="s">
        <v>102</v>
      </c>
      <c r="D235" s="95" t="s">
        <v>61</v>
      </c>
      <c r="E235" s="7">
        <v>10</v>
      </c>
      <c r="F235" s="7">
        <v>10</v>
      </c>
      <c r="G235" s="10">
        <f t="shared" ref="G235" si="27">F235/E235*100</f>
        <v>100</v>
      </c>
      <c r="H235" s="35"/>
      <c r="I235" s="44"/>
      <c r="J235" s="44"/>
      <c r="K235" s="44"/>
      <c r="L235" s="44"/>
      <c r="M235" s="44"/>
      <c r="N235" s="44"/>
      <c r="O235" s="44"/>
      <c r="P235" s="44"/>
    </row>
    <row r="236" spans="2:16" s="19" customFormat="1">
      <c r="B236" s="72" t="s">
        <v>177</v>
      </c>
      <c r="C236" s="13" t="s">
        <v>105</v>
      </c>
      <c r="D236" s="105"/>
      <c r="E236" s="14">
        <f>E237+E240</f>
        <v>616</v>
      </c>
      <c r="F236" s="14">
        <f>F237+F240</f>
        <v>636</v>
      </c>
      <c r="G236" s="15">
        <f>F236/E236*100</f>
        <v>103.24675324675326</v>
      </c>
      <c r="H236" s="60"/>
      <c r="I236" s="59"/>
      <c r="J236" s="59"/>
      <c r="K236" s="59"/>
      <c r="L236" s="59"/>
      <c r="M236" s="59"/>
      <c r="N236" s="59"/>
      <c r="O236" s="59"/>
      <c r="P236" s="59"/>
    </row>
    <row r="237" spans="2:16">
      <c r="B237" s="1" t="s">
        <v>4</v>
      </c>
      <c r="C237" s="2" t="s">
        <v>89</v>
      </c>
      <c r="D237" s="95" t="s">
        <v>90</v>
      </c>
      <c r="E237" s="4">
        <f>E238+E239</f>
        <v>308</v>
      </c>
      <c r="F237" s="4">
        <f>F238+F239</f>
        <v>318</v>
      </c>
      <c r="G237" s="9">
        <f>F237/E237*100</f>
        <v>103.24675324675326</v>
      </c>
      <c r="H237" s="68"/>
    </row>
    <row r="238" spans="2:16" ht="31.5">
      <c r="B238" s="5" t="s">
        <v>26</v>
      </c>
      <c r="C238" s="6" t="s">
        <v>91</v>
      </c>
      <c r="D238" s="95" t="s">
        <v>90</v>
      </c>
      <c r="E238" s="7">
        <v>307</v>
      </c>
      <c r="F238" s="7">
        <v>317</v>
      </c>
      <c r="G238" s="10">
        <f t="shared" ref="G238:G242" si="28">F238/E238*100</f>
        <v>103.25732899022802</v>
      </c>
      <c r="H238" s="35" t="s">
        <v>101</v>
      </c>
    </row>
    <row r="239" spans="2:16">
      <c r="B239" s="5" t="s">
        <v>27</v>
      </c>
      <c r="C239" s="6" t="s">
        <v>94</v>
      </c>
      <c r="D239" s="95" t="s">
        <v>90</v>
      </c>
      <c r="E239" s="7">
        <v>1</v>
      </c>
      <c r="F239" s="7">
        <v>1</v>
      </c>
      <c r="G239" s="10">
        <f t="shared" si="28"/>
        <v>100</v>
      </c>
      <c r="H239" s="35"/>
    </row>
    <row r="240" spans="2:16">
      <c r="B240" s="1" t="s">
        <v>95</v>
      </c>
      <c r="C240" s="2" t="s">
        <v>96</v>
      </c>
      <c r="D240" s="95" t="s">
        <v>61</v>
      </c>
      <c r="E240" s="4">
        <f>E241+E242+E243</f>
        <v>308</v>
      </c>
      <c r="F240" s="4">
        <f>F241+F242+F243</f>
        <v>318</v>
      </c>
      <c r="G240" s="9">
        <f t="shared" si="28"/>
        <v>103.24675324675326</v>
      </c>
      <c r="H240" s="35"/>
    </row>
    <row r="241" spans="2:16" ht="31.5">
      <c r="B241" s="5" t="s">
        <v>7</v>
      </c>
      <c r="C241" s="6" t="s">
        <v>98</v>
      </c>
      <c r="D241" s="95" t="s">
        <v>61</v>
      </c>
      <c r="E241" s="7">
        <v>25</v>
      </c>
      <c r="F241" s="7">
        <v>29</v>
      </c>
      <c r="G241" s="10">
        <f t="shared" si="28"/>
        <v>115.99999999999999</v>
      </c>
      <c r="H241" s="35" t="s">
        <v>101</v>
      </c>
    </row>
    <row r="242" spans="2:16" ht="31.5">
      <c r="B242" s="5" t="s">
        <v>12</v>
      </c>
      <c r="C242" s="6" t="s">
        <v>100</v>
      </c>
      <c r="D242" s="95" t="s">
        <v>61</v>
      </c>
      <c r="E242" s="7">
        <v>263</v>
      </c>
      <c r="F242" s="7">
        <v>269</v>
      </c>
      <c r="G242" s="10">
        <f t="shared" si="28"/>
        <v>102.28136882129277</v>
      </c>
      <c r="H242" s="35" t="s">
        <v>101</v>
      </c>
    </row>
    <row r="243" spans="2:16" ht="31.5">
      <c r="B243" s="5" t="s">
        <v>14</v>
      </c>
      <c r="C243" s="6" t="s">
        <v>102</v>
      </c>
      <c r="D243" s="95" t="s">
        <v>61</v>
      </c>
      <c r="E243" s="7">
        <v>20</v>
      </c>
      <c r="F243" s="7">
        <v>20</v>
      </c>
      <c r="G243" s="10">
        <f t="shared" ref="G243" si="29">F243/E243*100</f>
        <v>100</v>
      </c>
      <c r="H243" s="35"/>
      <c r="I243" s="44"/>
      <c r="J243" s="44"/>
      <c r="K243" s="44"/>
      <c r="L243" s="44"/>
      <c r="M243" s="44"/>
      <c r="N243" s="44"/>
      <c r="O243" s="44"/>
      <c r="P243" s="44"/>
    </row>
    <row r="244" spans="2:16" s="19" customFormat="1">
      <c r="B244" s="72" t="s">
        <v>178</v>
      </c>
      <c r="C244" s="13" t="s">
        <v>106</v>
      </c>
      <c r="D244" s="105"/>
      <c r="E244" s="14">
        <f>E245+E249</f>
        <v>906</v>
      </c>
      <c r="F244" s="14">
        <f>F245+F249</f>
        <v>894</v>
      </c>
      <c r="G244" s="15">
        <f>F244/E244*100</f>
        <v>98.675496688741731</v>
      </c>
      <c r="H244" s="60"/>
    </row>
    <row r="245" spans="2:16">
      <c r="B245" s="1" t="s">
        <v>4</v>
      </c>
      <c r="C245" s="2" t="s">
        <v>89</v>
      </c>
      <c r="D245" s="95" t="s">
        <v>90</v>
      </c>
      <c r="E245" s="4">
        <f>E246+E247+E248</f>
        <v>453</v>
      </c>
      <c r="F245" s="4">
        <f>F246+F247+F248</f>
        <v>447</v>
      </c>
      <c r="G245" s="9">
        <f>F245/E245*100</f>
        <v>98.675496688741731</v>
      </c>
      <c r="H245" s="68"/>
    </row>
    <row r="246" spans="2:16" ht="31.5">
      <c r="B246" s="5" t="s">
        <v>26</v>
      </c>
      <c r="C246" s="6" t="s">
        <v>91</v>
      </c>
      <c r="D246" s="95" t="s">
        <v>90</v>
      </c>
      <c r="E246" s="7">
        <v>445</v>
      </c>
      <c r="F246" s="7">
        <v>437</v>
      </c>
      <c r="G246" s="10">
        <f t="shared" ref="G246:G251" si="30">F246/E246*100</f>
        <v>98.202247191011239</v>
      </c>
      <c r="H246" s="35" t="s">
        <v>93</v>
      </c>
    </row>
    <row r="247" spans="2:16" ht="31.5">
      <c r="B247" s="5" t="s">
        <v>27</v>
      </c>
      <c r="C247" s="6" t="s">
        <v>92</v>
      </c>
      <c r="D247" s="95" t="s">
        <v>90</v>
      </c>
      <c r="E247" s="7">
        <v>3</v>
      </c>
      <c r="F247" s="7">
        <v>4</v>
      </c>
      <c r="G247" s="10">
        <f t="shared" si="30"/>
        <v>133.33333333333331</v>
      </c>
      <c r="H247" s="35" t="s">
        <v>101</v>
      </c>
    </row>
    <row r="248" spans="2:16" ht="31.5">
      <c r="B248" s="5" t="s">
        <v>28</v>
      </c>
      <c r="C248" s="6" t="s">
        <v>94</v>
      </c>
      <c r="D248" s="95" t="s">
        <v>90</v>
      </c>
      <c r="E248" s="7">
        <v>5</v>
      </c>
      <c r="F248" s="7">
        <v>6</v>
      </c>
      <c r="G248" s="10">
        <f t="shared" si="30"/>
        <v>120</v>
      </c>
      <c r="H248" s="35" t="s">
        <v>101</v>
      </c>
    </row>
    <row r="249" spans="2:16">
      <c r="B249" s="1" t="s">
        <v>95</v>
      </c>
      <c r="C249" s="2" t="s">
        <v>96</v>
      </c>
      <c r="D249" s="95" t="s">
        <v>61</v>
      </c>
      <c r="E249" s="4">
        <f>E250+E251+E252</f>
        <v>453</v>
      </c>
      <c r="F249" s="4">
        <f>F250+F251+F252</f>
        <v>447</v>
      </c>
      <c r="G249" s="9">
        <f t="shared" si="30"/>
        <v>98.675496688741731</v>
      </c>
      <c r="H249" s="35"/>
    </row>
    <row r="250" spans="2:16" ht="31.5">
      <c r="B250" s="5" t="s">
        <v>7</v>
      </c>
      <c r="C250" s="6" t="s">
        <v>98</v>
      </c>
      <c r="D250" s="95" t="s">
        <v>61</v>
      </c>
      <c r="E250" s="7">
        <v>103</v>
      </c>
      <c r="F250" s="7">
        <v>89</v>
      </c>
      <c r="G250" s="10">
        <f t="shared" si="30"/>
        <v>86.40776699029125</v>
      </c>
      <c r="H250" s="35" t="s">
        <v>93</v>
      </c>
    </row>
    <row r="251" spans="2:16" ht="31.5">
      <c r="B251" s="5" t="s">
        <v>12</v>
      </c>
      <c r="C251" s="6" t="s">
        <v>100</v>
      </c>
      <c r="D251" s="95" t="s">
        <v>61</v>
      </c>
      <c r="E251" s="7">
        <v>310</v>
      </c>
      <c r="F251" s="7">
        <v>319</v>
      </c>
      <c r="G251" s="10">
        <f t="shared" si="30"/>
        <v>102.90322580645162</v>
      </c>
      <c r="H251" s="35" t="s">
        <v>101</v>
      </c>
      <c r="I251" s="44"/>
      <c r="J251" s="44"/>
      <c r="K251" s="44"/>
      <c r="L251" s="44"/>
      <c r="M251" s="44"/>
      <c r="N251" s="44"/>
      <c r="O251" s="44"/>
      <c r="P251" s="44"/>
    </row>
    <row r="252" spans="2:16" ht="31.5">
      <c r="B252" s="5" t="s">
        <v>14</v>
      </c>
      <c r="C252" s="6" t="s">
        <v>102</v>
      </c>
      <c r="D252" s="95" t="s">
        <v>61</v>
      </c>
      <c r="E252" s="7">
        <v>40</v>
      </c>
      <c r="F252" s="7">
        <v>39</v>
      </c>
      <c r="G252" s="10">
        <f t="shared" ref="G252" si="31">F252/E252*100</f>
        <v>97.5</v>
      </c>
      <c r="H252" s="35" t="s">
        <v>93</v>
      </c>
    </row>
    <row r="253" spans="2:16" s="19" customFormat="1">
      <c r="B253" s="72" t="s">
        <v>179</v>
      </c>
      <c r="C253" s="13" t="s">
        <v>107</v>
      </c>
      <c r="D253" s="105"/>
      <c r="E253" s="14">
        <f>E254+E258</f>
        <v>498</v>
      </c>
      <c r="F253" s="14">
        <f>F254+F258</f>
        <v>486</v>
      </c>
      <c r="G253" s="15">
        <f>F253/E253*100</f>
        <v>97.590361445783131</v>
      </c>
      <c r="H253" s="60"/>
    </row>
    <row r="254" spans="2:16">
      <c r="B254" s="1" t="s">
        <v>4</v>
      </c>
      <c r="C254" s="2" t="s">
        <v>89</v>
      </c>
      <c r="D254" s="95" t="s">
        <v>90</v>
      </c>
      <c r="E254" s="4">
        <f>E255+E256+E257</f>
        <v>249</v>
      </c>
      <c r="F254" s="4">
        <f>F255+F256+F257</f>
        <v>243</v>
      </c>
      <c r="G254" s="9">
        <f>F254/E254*100</f>
        <v>97.590361445783131</v>
      </c>
      <c r="H254" s="68"/>
    </row>
    <row r="255" spans="2:16" ht="31.5">
      <c r="B255" s="5" t="s">
        <v>26</v>
      </c>
      <c r="C255" s="6" t="s">
        <v>91</v>
      </c>
      <c r="D255" s="95" t="s">
        <v>90</v>
      </c>
      <c r="E255" s="7">
        <v>245</v>
      </c>
      <c r="F255" s="7">
        <v>239</v>
      </c>
      <c r="G255" s="10">
        <f t="shared" ref="G255:G260" si="32">F255/E255*100</f>
        <v>97.551020408163268</v>
      </c>
      <c r="H255" s="35" t="s">
        <v>93</v>
      </c>
    </row>
    <row r="256" spans="2:16">
      <c r="B256" s="5" t="s">
        <v>27</v>
      </c>
      <c r="C256" s="6" t="s">
        <v>92</v>
      </c>
      <c r="D256" s="95" t="s">
        <v>90</v>
      </c>
      <c r="E256" s="7">
        <v>1</v>
      </c>
      <c r="F256" s="7">
        <v>1</v>
      </c>
      <c r="G256" s="10">
        <f t="shared" si="32"/>
        <v>100</v>
      </c>
      <c r="H256" s="35"/>
    </row>
    <row r="257" spans="2:16">
      <c r="B257" s="5" t="s">
        <v>28</v>
      </c>
      <c r="C257" s="6" t="s">
        <v>94</v>
      </c>
      <c r="D257" s="95" t="s">
        <v>90</v>
      </c>
      <c r="E257" s="7">
        <v>3</v>
      </c>
      <c r="F257" s="7">
        <v>3</v>
      </c>
      <c r="G257" s="10">
        <f t="shared" si="32"/>
        <v>100</v>
      </c>
      <c r="H257" s="35"/>
    </row>
    <row r="258" spans="2:16">
      <c r="B258" s="1" t="s">
        <v>95</v>
      </c>
      <c r="C258" s="2" t="s">
        <v>96</v>
      </c>
      <c r="D258" s="95" t="s">
        <v>61</v>
      </c>
      <c r="E258" s="4">
        <f>E259+E260+E261</f>
        <v>249</v>
      </c>
      <c r="F258" s="4">
        <f>F259+F260+F261</f>
        <v>243</v>
      </c>
      <c r="G258" s="9">
        <f t="shared" si="32"/>
        <v>97.590361445783131</v>
      </c>
      <c r="H258" s="35"/>
    </row>
    <row r="259" spans="2:16" ht="31.5">
      <c r="B259" s="5" t="s">
        <v>7</v>
      </c>
      <c r="C259" s="6" t="s">
        <v>98</v>
      </c>
      <c r="D259" s="95" t="s">
        <v>61</v>
      </c>
      <c r="E259" s="7">
        <v>20</v>
      </c>
      <c r="F259" s="7">
        <v>21</v>
      </c>
      <c r="G259" s="10">
        <f t="shared" si="32"/>
        <v>105</v>
      </c>
      <c r="H259" s="35" t="s">
        <v>101</v>
      </c>
      <c r="I259" s="44"/>
      <c r="J259" s="44"/>
      <c r="K259" s="44"/>
      <c r="L259" s="44"/>
      <c r="M259" s="44"/>
      <c r="N259" s="44"/>
      <c r="O259" s="44"/>
      <c r="P259" s="44"/>
    </row>
    <row r="260" spans="2:16" ht="31.5">
      <c r="B260" s="5" t="s">
        <v>12</v>
      </c>
      <c r="C260" s="6" t="s">
        <v>100</v>
      </c>
      <c r="D260" s="95" t="s">
        <v>61</v>
      </c>
      <c r="E260" s="7">
        <v>209</v>
      </c>
      <c r="F260" s="7">
        <v>202</v>
      </c>
      <c r="G260" s="10">
        <f t="shared" si="32"/>
        <v>96.650717703349287</v>
      </c>
      <c r="H260" s="35" t="s">
        <v>93</v>
      </c>
      <c r="I260" s="44"/>
      <c r="J260" s="44"/>
      <c r="K260" s="44"/>
      <c r="L260" s="44"/>
      <c r="M260" s="44"/>
      <c r="N260" s="44"/>
      <c r="O260" s="44"/>
      <c r="P260" s="44"/>
    </row>
    <row r="261" spans="2:16" ht="31.5">
      <c r="B261" s="5" t="s">
        <v>14</v>
      </c>
      <c r="C261" s="6" t="s">
        <v>102</v>
      </c>
      <c r="D261" s="95" t="s">
        <v>61</v>
      </c>
      <c r="E261" s="7">
        <v>20</v>
      </c>
      <c r="F261" s="7">
        <v>20</v>
      </c>
      <c r="G261" s="10">
        <f t="shared" ref="G261" si="33">F261/E261*100</f>
        <v>100</v>
      </c>
      <c r="H261" s="35"/>
    </row>
    <row r="262" spans="2:16">
      <c r="B262" s="72" t="s">
        <v>180</v>
      </c>
      <c r="C262" s="13" t="s">
        <v>108</v>
      </c>
      <c r="D262" s="105"/>
      <c r="E262" s="14">
        <f>E263+E267</f>
        <v>484</v>
      </c>
      <c r="F262" s="14">
        <f>F263+F267</f>
        <v>454</v>
      </c>
      <c r="G262" s="15">
        <f>F262/E262*100</f>
        <v>93.801652892561975</v>
      </c>
      <c r="H262" s="60"/>
    </row>
    <row r="263" spans="2:16">
      <c r="B263" s="1" t="s">
        <v>4</v>
      </c>
      <c r="C263" s="2" t="s">
        <v>89</v>
      </c>
      <c r="D263" s="95" t="s">
        <v>90</v>
      </c>
      <c r="E263" s="4">
        <f>E264+E265+E266</f>
        <v>242</v>
      </c>
      <c r="F263" s="4">
        <f>F264+F265+F266</f>
        <v>227</v>
      </c>
      <c r="G263" s="9">
        <f>F263/E263*100</f>
        <v>93.801652892561975</v>
      </c>
      <c r="H263" s="68"/>
    </row>
    <row r="264" spans="2:16" ht="31.5">
      <c r="B264" s="5" t="s">
        <v>26</v>
      </c>
      <c r="C264" s="6" t="s">
        <v>91</v>
      </c>
      <c r="D264" s="95" t="s">
        <v>90</v>
      </c>
      <c r="E264" s="7">
        <v>237</v>
      </c>
      <c r="F264" s="7">
        <v>222</v>
      </c>
      <c r="G264" s="10">
        <f t="shared" ref="G264:G269" si="34">F264/E264*100</f>
        <v>93.670886075949369</v>
      </c>
      <c r="H264" s="35" t="s">
        <v>93</v>
      </c>
    </row>
    <row r="265" spans="2:16" ht="31.5">
      <c r="B265" s="5" t="s">
        <v>27</v>
      </c>
      <c r="C265" s="6" t="s">
        <v>92</v>
      </c>
      <c r="D265" s="95" t="s">
        <v>90</v>
      </c>
      <c r="E265" s="7">
        <v>2</v>
      </c>
      <c r="F265" s="7">
        <v>2</v>
      </c>
      <c r="G265" s="10">
        <f t="shared" si="34"/>
        <v>100</v>
      </c>
      <c r="H265" s="35" t="s">
        <v>101</v>
      </c>
    </row>
    <row r="266" spans="2:16">
      <c r="B266" s="5" t="s">
        <v>28</v>
      </c>
      <c r="C266" s="6" t="s">
        <v>94</v>
      </c>
      <c r="D266" s="95" t="s">
        <v>90</v>
      </c>
      <c r="E266" s="7">
        <v>3</v>
      </c>
      <c r="F266" s="7">
        <v>3</v>
      </c>
      <c r="G266" s="10">
        <f t="shared" si="34"/>
        <v>100</v>
      </c>
      <c r="H266" s="35"/>
    </row>
    <row r="267" spans="2:16">
      <c r="B267" s="1" t="s">
        <v>95</v>
      </c>
      <c r="C267" s="2" t="s">
        <v>96</v>
      </c>
      <c r="D267" s="95" t="s">
        <v>61</v>
      </c>
      <c r="E267" s="4">
        <f>E268+E269+E270</f>
        <v>242</v>
      </c>
      <c r="F267" s="4">
        <f>F268+F269+F270</f>
        <v>227</v>
      </c>
      <c r="G267" s="9">
        <f t="shared" si="34"/>
        <v>93.801652892561975</v>
      </c>
      <c r="H267" s="35"/>
    </row>
    <row r="268" spans="2:16">
      <c r="B268" s="5" t="s">
        <v>7</v>
      </c>
      <c r="C268" s="6" t="s">
        <v>98</v>
      </c>
      <c r="D268" s="95" t="s">
        <v>61</v>
      </c>
      <c r="E268" s="7">
        <v>50</v>
      </c>
      <c r="F268" s="7">
        <v>50</v>
      </c>
      <c r="G268" s="10">
        <f t="shared" si="34"/>
        <v>100</v>
      </c>
      <c r="H268" s="35"/>
    </row>
    <row r="269" spans="2:16" ht="31.5">
      <c r="B269" s="5" t="s">
        <v>12</v>
      </c>
      <c r="C269" s="6" t="s">
        <v>100</v>
      </c>
      <c r="D269" s="95" t="s">
        <v>61</v>
      </c>
      <c r="E269" s="7">
        <v>157</v>
      </c>
      <c r="F269" s="7">
        <v>142</v>
      </c>
      <c r="G269" s="10">
        <f t="shared" si="34"/>
        <v>90.445859872611464</v>
      </c>
      <c r="H269" s="35" t="s">
        <v>93</v>
      </c>
    </row>
    <row r="270" spans="2:16" ht="31.5">
      <c r="B270" s="5" t="s">
        <v>14</v>
      </c>
      <c r="C270" s="6" t="s">
        <v>102</v>
      </c>
      <c r="D270" s="95" t="s">
        <v>61</v>
      </c>
      <c r="E270" s="7">
        <v>35</v>
      </c>
      <c r="F270" s="7">
        <v>35</v>
      </c>
      <c r="G270" s="10">
        <f t="shared" ref="G270" si="35">F270/E270*100</f>
        <v>100</v>
      </c>
      <c r="H270" s="35"/>
    </row>
    <row r="271" spans="2:16" s="19" customFormat="1">
      <c r="B271" s="72" t="s">
        <v>181</v>
      </c>
      <c r="C271" s="13" t="s">
        <v>109</v>
      </c>
      <c r="D271" s="105"/>
      <c r="E271" s="14">
        <f>E272+E276</f>
        <v>1050</v>
      </c>
      <c r="F271" s="14">
        <f>F272+F276</f>
        <v>976</v>
      </c>
      <c r="G271" s="15">
        <f>F271/E271*100</f>
        <v>92.952380952380949</v>
      </c>
      <c r="H271" s="60"/>
    </row>
    <row r="272" spans="2:16">
      <c r="B272" s="1" t="s">
        <v>4</v>
      </c>
      <c r="C272" s="2" t="s">
        <v>89</v>
      </c>
      <c r="D272" s="95" t="s">
        <v>90</v>
      </c>
      <c r="E272" s="4">
        <f>E273+E274+E275</f>
        <v>525</v>
      </c>
      <c r="F272" s="4">
        <f>F273+F274+F275</f>
        <v>488</v>
      </c>
      <c r="G272" s="9">
        <f>F272/E272*100</f>
        <v>92.952380952380949</v>
      </c>
      <c r="H272" s="68"/>
    </row>
    <row r="273" spans="2:16" ht="31.5">
      <c r="B273" s="5" t="s">
        <v>26</v>
      </c>
      <c r="C273" s="6" t="s">
        <v>91</v>
      </c>
      <c r="D273" s="95" t="s">
        <v>90</v>
      </c>
      <c r="E273" s="7">
        <v>521</v>
      </c>
      <c r="F273" s="7">
        <v>483</v>
      </c>
      <c r="G273" s="10">
        <f t="shared" ref="G273:G278" si="36">F273/E273*100</f>
        <v>92.706333973128594</v>
      </c>
      <c r="H273" s="35" t="s">
        <v>93</v>
      </c>
    </row>
    <row r="274" spans="2:16">
      <c r="B274" s="5" t="s">
        <v>27</v>
      </c>
      <c r="C274" s="6" t="s">
        <v>92</v>
      </c>
      <c r="D274" s="95" t="s">
        <v>90</v>
      </c>
      <c r="E274" s="7">
        <v>2</v>
      </c>
      <c r="F274" s="7">
        <v>2</v>
      </c>
      <c r="G274" s="10">
        <f t="shared" si="36"/>
        <v>100</v>
      </c>
      <c r="H274" s="35"/>
    </row>
    <row r="275" spans="2:16" ht="31.5">
      <c r="B275" s="5" t="s">
        <v>28</v>
      </c>
      <c r="C275" s="6" t="s">
        <v>94</v>
      </c>
      <c r="D275" s="95" t="s">
        <v>90</v>
      </c>
      <c r="E275" s="7">
        <v>2</v>
      </c>
      <c r="F275" s="7">
        <v>3</v>
      </c>
      <c r="G275" s="10">
        <f t="shared" si="36"/>
        <v>150</v>
      </c>
      <c r="H275" s="35" t="s">
        <v>101</v>
      </c>
      <c r="I275" s="44"/>
      <c r="J275" s="44"/>
      <c r="K275" s="44"/>
      <c r="L275" s="44"/>
      <c r="M275" s="44"/>
      <c r="N275" s="44"/>
      <c r="O275" s="44"/>
      <c r="P275" s="44"/>
    </row>
    <row r="276" spans="2:16">
      <c r="B276" s="1" t="s">
        <v>95</v>
      </c>
      <c r="C276" s="2" t="s">
        <v>96</v>
      </c>
      <c r="D276" s="95" t="s">
        <v>61</v>
      </c>
      <c r="E276" s="4">
        <f>E277+E278+E279</f>
        <v>525</v>
      </c>
      <c r="F276" s="4">
        <f>F277+F278+F279</f>
        <v>488</v>
      </c>
      <c r="G276" s="9">
        <f t="shared" si="36"/>
        <v>92.952380952380949</v>
      </c>
      <c r="H276" s="35"/>
      <c r="I276" s="44"/>
      <c r="J276" s="44"/>
      <c r="K276" s="44"/>
      <c r="L276" s="44"/>
      <c r="M276" s="44"/>
      <c r="N276" s="44"/>
      <c r="O276" s="44"/>
      <c r="P276" s="44"/>
    </row>
    <row r="277" spans="2:16" ht="31.5">
      <c r="B277" s="5" t="s">
        <v>7</v>
      </c>
      <c r="C277" s="6" t="s">
        <v>98</v>
      </c>
      <c r="D277" s="95" t="s">
        <v>61</v>
      </c>
      <c r="E277" s="7">
        <v>115</v>
      </c>
      <c r="F277" s="7">
        <v>103</v>
      </c>
      <c r="G277" s="10">
        <f t="shared" si="36"/>
        <v>89.565217391304358</v>
      </c>
      <c r="H277" s="35" t="s">
        <v>93</v>
      </c>
      <c r="I277" s="44"/>
      <c r="J277" s="44"/>
      <c r="K277" s="44"/>
      <c r="L277" s="44"/>
      <c r="M277" s="44"/>
      <c r="N277" s="44"/>
      <c r="O277" s="44"/>
      <c r="P277" s="44"/>
    </row>
    <row r="278" spans="2:16" ht="31.5">
      <c r="B278" s="5" t="s">
        <v>12</v>
      </c>
      <c r="C278" s="6" t="s">
        <v>100</v>
      </c>
      <c r="D278" s="95" t="s">
        <v>61</v>
      </c>
      <c r="E278" s="7">
        <v>350</v>
      </c>
      <c r="F278" s="7">
        <v>329</v>
      </c>
      <c r="G278" s="10">
        <f t="shared" si="36"/>
        <v>94</v>
      </c>
      <c r="H278" s="35" t="s">
        <v>93</v>
      </c>
      <c r="I278" s="48"/>
      <c r="J278" s="48"/>
      <c r="K278" s="49"/>
      <c r="L278" s="47"/>
      <c r="M278" s="44"/>
      <c r="N278" s="48"/>
      <c r="O278" s="48"/>
      <c r="P278" s="49"/>
    </row>
    <row r="279" spans="2:16" ht="31.5">
      <c r="B279" s="5" t="s">
        <v>14</v>
      </c>
      <c r="C279" s="6" t="s">
        <v>102</v>
      </c>
      <c r="D279" s="95" t="s">
        <v>61</v>
      </c>
      <c r="E279" s="7">
        <v>60</v>
      </c>
      <c r="F279" s="7">
        <v>56</v>
      </c>
      <c r="G279" s="10">
        <f t="shared" ref="G279" si="37">F279/E279*100</f>
        <v>93.333333333333329</v>
      </c>
      <c r="H279" s="35" t="s">
        <v>93</v>
      </c>
      <c r="I279" s="48"/>
      <c r="J279" s="48"/>
      <c r="K279" s="49"/>
      <c r="L279" s="50"/>
      <c r="M279" s="44"/>
      <c r="N279" s="48"/>
      <c r="O279" s="48"/>
      <c r="P279" s="49"/>
    </row>
    <row r="280" spans="2:16" s="19" customFormat="1">
      <c r="B280" s="72" t="s">
        <v>182</v>
      </c>
      <c r="C280" s="13" t="s">
        <v>110</v>
      </c>
      <c r="D280" s="104"/>
      <c r="E280" s="76">
        <f>E281+E282+E283+E284+E285</f>
        <v>225</v>
      </c>
      <c r="F280" s="76">
        <f>F281+F282+F283+F284+F285</f>
        <v>155</v>
      </c>
      <c r="G280" s="15">
        <f>F280/E280*100</f>
        <v>68.888888888888886</v>
      </c>
      <c r="H280" s="60"/>
    </row>
    <row r="281" spans="2:16" ht="25.5">
      <c r="B281" s="74" t="s">
        <v>4</v>
      </c>
      <c r="C281" s="2" t="s">
        <v>111</v>
      </c>
      <c r="D281" s="96" t="s">
        <v>112</v>
      </c>
      <c r="E281" s="77">
        <v>120</v>
      </c>
      <c r="F281" s="77">
        <v>120</v>
      </c>
      <c r="G281" s="9">
        <f t="shared" ref="G281:G285" si="38">F281/E281*100</f>
        <v>100</v>
      </c>
      <c r="H281" s="35"/>
    </row>
    <row r="282" spans="2:16" ht="31.5">
      <c r="B282" s="74" t="s">
        <v>6</v>
      </c>
      <c r="C282" s="2" t="s">
        <v>113</v>
      </c>
      <c r="D282" s="96" t="s">
        <v>114</v>
      </c>
      <c r="E282" s="77">
        <v>96</v>
      </c>
      <c r="F282" s="77">
        <v>30</v>
      </c>
      <c r="G282" s="51">
        <f t="shared" si="38"/>
        <v>31.25</v>
      </c>
      <c r="H282" s="35" t="s">
        <v>93</v>
      </c>
    </row>
    <row r="283" spans="2:16" ht="78.75">
      <c r="B283" s="74" t="s">
        <v>8</v>
      </c>
      <c r="C283" s="52" t="s">
        <v>115</v>
      </c>
      <c r="D283" s="97" t="s">
        <v>116</v>
      </c>
      <c r="E283" s="77">
        <v>5</v>
      </c>
      <c r="F283" s="77">
        <v>4</v>
      </c>
      <c r="G283" s="51">
        <f t="shared" si="38"/>
        <v>80</v>
      </c>
      <c r="H283" s="35" t="s">
        <v>93</v>
      </c>
    </row>
    <row r="284" spans="2:16" ht="78.75">
      <c r="B284" s="74" t="s">
        <v>18</v>
      </c>
      <c r="C284" s="52" t="s">
        <v>118</v>
      </c>
      <c r="D284" s="96" t="s">
        <v>117</v>
      </c>
      <c r="E284" s="77">
        <v>2</v>
      </c>
      <c r="F284" s="77">
        <v>0</v>
      </c>
      <c r="G284" s="51">
        <f t="shared" si="38"/>
        <v>0</v>
      </c>
      <c r="H284" s="35" t="s">
        <v>93</v>
      </c>
    </row>
    <row r="285" spans="2:16" ht="63">
      <c r="B285" s="111" t="s">
        <v>21</v>
      </c>
      <c r="C285" s="52" t="s">
        <v>184</v>
      </c>
      <c r="D285" s="96" t="s">
        <v>117</v>
      </c>
      <c r="E285" s="77">
        <v>2</v>
      </c>
      <c r="F285" s="77">
        <v>1</v>
      </c>
      <c r="G285" s="112">
        <f t="shared" si="38"/>
        <v>50</v>
      </c>
      <c r="H285" s="35" t="s">
        <v>93</v>
      </c>
    </row>
    <row r="286" spans="2:16" s="19" customFormat="1">
      <c r="B286" s="72" t="s">
        <v>183</v>
      </c>
      <c r="C286" s="13" t="s">
        <v>119</v>
      </c>
      <c r="D286" s="104"/>
      <c r="E286" s="76">
        <f>E287+E288+E289+E290+E291</f>
        <v>626</v>
      </c>
      <c r="F286" s="76">
        <f>F287+F288+F289+F290+F291</f>
        <v>169</v>
      </c>
      <c r="G286" s="15">
        <f>F286/E286*100</f>
        <v>26.996805111821086</v>
      </c>
      <c r="H286" s="60"/>
    </row>
    <row r="287" spans="2:16" ht="31.5">
      <c r="B287" s="74" t="s">
        <v>4</v>
      </c>
      <c r="C287" s="2" t="s">
        <v>111</v>
      </c>
      <c r="D287" s="97" t="s">
        <v>9</v>
      </c>
      <c r="E287" s="78">
        <v>326</v>
      </c>
      <c r="F287" s="78">
        <v>0</v>
      </c>
      <c r="G287" s="9"/>
      <c r="H287" s="35" t="s">
        <v>93</v>
      </c>
    </row>
    <row r="288" spans="2:16" ht="31.5">
      <c r="B288" s="74" t="s">
        <v>6</v>
      </c>
      <c r="C288" s="2" t="s">
        <v>120</v>
      </c>
      <c r="D288" s="96" t="s">
        <v>117</v>
      </c>
      <c r="E288" s="78">
        <v>4</v>
      </c>
      <c r="F288" s="78">
        <v>1</v>
      </c>
      <c r="G288" s="9">
        <f>F288/E288*100</f>
        <v>25</v>
      </c>
      <c r="H288" s="35" t="s">
        <v>93</v>
      </c>
    </row>
    <row r="289" spans="2:8" ht="31.5">
      <c r="B289" s="74" t="s">
        <v>8</v>
      </c>
      <c r="C289" s="53" t="s">
        <v>121</v>
      </c>
      <c r="D289" s="98" t="s">
        <v>114</v>
      </c>
      <c r="E289" s="77">
        <v>9</v>
      </c>
      <c r="F289" s="77">
        <v>4</v>
      </c>
      <c r="G289" s="51">
        <f t="shared" ref="G289" si="39">F289/E289*100</f>
        <v>44.444444444444443</v>
      </c>
      <c r="H289" s="35" t="s">
        <v>93</v>
      </c>
    </row>
    <row r="290" spans="2:8" ht="47.25">
      <c r="B290" s="74" t="s">
        <v>18</v>
      </c>
      <c r="C290" s="53" t="s">
        <v>122</v>
      </c>
      <c r="D290" s="98" t="s">
        <v>114</v>
      </c>
      <c r="E290" s="77">
        <v>200</v>
      </c>
      <c r="F290" s="77">
        <v>120</v>
      </c>
      <c r="G290" s="54">
        <f>F290/E290*100</f>
        <v>60</v>
      </c>
      <c r="H290" s="35" t="s">
        <v>93</v>
      </c>
    </row>
    <row r="291" spans="2:8" ht="47.25">
      <c r="B291" s="74" t="s">
        <v>21</v>
      </c>
      <c r="C291" s="53" t="s">
        <v>123</v>
      </c>
      <c r="D291" s="98" t="s">
        <v>124</v>
      </c>
      <c r="E291" s="77">
        <v>87</v>
      </c>
      <c r="F291" s="77">
        <v>44</v>
      </c>
      <c r="G291" s="54">
        <f>F291/E291*100</f>
        <v>50.574712643678168</v>
      </c>
      <c r="H291" s="35" t="s">
        <v>93</v>
      </c>
    </row>
    <row r="292" spans="2:8" s="19" customFormat="1" ht="38.25" customHeight="1">
      <c r="B292" s="73"/>
      <c r="C292" s="57" t="s">
        <v>143</v>
      </c>
      <c r="D292" s="106"/>
      <c r="E292" s="76">
        <f>E6+E15+E21+E23+E30+E50+E77+E102+E127+E160+E187+E210+E218+E227+E271+E236+E244+E253+E262+E280+E286</f>
        <v>335088</v>
      </c>
      <c r="F292" s="76">
        <f>F6+F15+F21+F23+F30+F50+F77+F102+F127+F160+F187+F210+F218+F227+F271+F236+F244+F253+F262+F280+F286</f>
        <v>194780</v>
      </c>
      <c r="G292" s="58">
        <f>F292/E292*100</f>
        <v>58.128014133600722</v>
      </c>
      <c r="H292" s="60"/>
    </row>
    <row r="294" spans="2:8">
      <c r="E294" s="64"/>
      <c r="F294" s="64"/>
    </row>
  </sheetData>
  <mergeCells count="2">
    <mergeCell ref="B1:H2"/>
    <mergeCell ref="J212:J217"/>
  </mergeCells>
  <pageMargins left="0.19685039370078741" right="0.11811023622047245" top="0.15748031496062992" bottom="0.19685039370078741" header="0.31496062992125984" footer="0.31496062992125984"/>
  <pageSetup paperSize="9" scale="51" fitToHeight="1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2"/>
  <sheetViews>
    <sheetView topLeftCell="A298" zoomScale="90" zoomScaleNormal="90" workbookViewId="0">
      <selection activeCell="B300" sqref="B300:C300"/>
    </sheetView>
  </sheetViews>
  <sheetFormatPr defaultColWidth="8" defaultRowHeight="15.75"/>
  <cols>
    <col min="1" max="1" width="3" style="20" customWidth="1"/>
    <col min="2" max="2" width="7" style="75" customWidth="1"/>
    <col min="3" max="3" width="82.85546875" style="20" customWidth="1"/>
    <col min="4" max="4" width="22.42578125" style="107" customWidth="1"/>
    <col min="5" max="5" width="16.5703125" style="20" customWidth="1"/>
    <col min="6" max="6" width="17.85546875" style="20" customWidth="1"/>
    <col min="7" max="7" width="15.140625" style="21" customWidth="1"/>
    <col min="8" max="8" width="35.5703125" style="22" customWidth="1"/>
    <col min="9" max="9" width="16.28515625" style="20" customWidth="1"/>
    <col min="10" max="10" width="28.28515625" style="20" customWidth="1"/>
    <col min="11" max="16384" width="8" style="20"/>
  </cols>
  <sheetData>
    <row r="1" spans="2:8" s="19" customFormat="1" ht="15.75" customHeight="1">
      <c r="B1" s="830" t="s">
        <v>187</v>
      </c>
      <c r="C1" s="830"/>
      <c r="D1" s="830"/>
      <c r="E1" s="830"/>
      <c r="F1" s="830"/>
      <c r="G1" s="830"/>
      <c r="H1" s="830"/>
    </row>
    <row r="2" spans="2:8" s="19" customFormat="1" ht="16.5" customHeight="1">
      <c r="B2" s="830"/>
      <c r="C2" s="830"/>
      <c r="D2" s="830"/>
      <c r="E2" s="830"/>
      <c r="F2" s="830"/>
      <c r="G2" s="830"/>
      <c r="H2" s="830"/>
    </row>
    <row r="4" spans="2:8" ht="63">
      <c r="B4" s="70" t="s">
        <v>0</v>
      </c>
      <c r="C4" s="23" t="s">
        <v>1</v>
      </c>
      <c r="D4" s="122" t="s">
        <v>2</v>
      </c>
      <c r="E4" s="23" t="s">
        <v>41</v>
      </c>
      <c r="F4" s="24" t="s">
        <v>188</v>
      </c>
      <c r="G4" s="25" t="s">
        <v>33</v>
      </c>
      <c r="H4" s="26" t="s">
        <v>3</v>
      </c>
    </row>
    <row r="5" spans="2:8">
      <c r="B5" s="71">
        <v>1</v>
      </c>
      <c r="C5" s="27">
        <v>2</v>
      </c>
      <c r="D5" s="99">
        <v>3</v>
      </c>
      <c r="E5" s="28">
        <v>4</v>
      </c>
      <c r="F5" s="28">
        <v>5</v>
      </c>
      <c r="G5" s="3">
        <v>6</v>
      </c>
      <c r="H5" s="29">
        <v>7</v>
      </c>
    </row>
    <row r="6" spans="2:8" s="11" customFormat="1">
      <c r="B6" s="72" t="s">
        <v>4</v>
      </c>
      <c r="C6" s="13" t="s">
        <v>152</v>
      </c>
      <c r="D6" s="100"/>
      <c r="E6" s="14">
        <f>E7+E14</f>
        <v>178361</v>
      </c>
      <c r="F6" s="14">
        <f>F7+F14</f>
        <v>113861</v>
      </c>
      <c r="G6" s="15">
        <f t="shared" ref="G6:G20" si="0">F6/E6*100</f>
        <v>63.837385975633687</v>
      </c>
      <c r="H6" s="89"/>
    </row>
    <row r="7" spans="2:8" ht="31.5">
      <c r="B7" s="1" t="s">
        <v>4</v>
      </c>
      <c r="C7" s="2" t="s">
        <v>153</v>
      </c>
      <c r="D7" s="94" t="s">
        <v>5</v>
      </c>
      <c r="E7" s="4">
        <f>SUM(E8:E13)</f>
        <v>178151</v>
      </c>
      <c r="F7" s="4">
        <f>SUM(F8:F13)</f>
        <v>113756</v>
      </c>
      <c r="G7" s="9">
        <f t="shared" si="0"/>
        <v>63.853697144557145</v>
      </c>
      <c r="H7" s="113"/>
    </row>
    <row r="8" spans="2:8">
      <c r="B8" s="5" t="s">
        <v>26</v>
      </c>
      <c r="C8" s="6" t="s">
        <v>154</v>
      </c>
      <c r="D8" s="94" t="s">
        <v>5</v>
      </c>
      <c r="E8" s="7">
        <v>23592</v>
      </c>
      <c r="F8" s="7">
        <v>14738</v>
      </c>
      <c r="G8" s="9">
        <f t="shared" si="0"/>
        <v>62.470328925059334</v>
      </c>
      <c r="H8" s="8"/>
    </row>
    <row r="9" spans="2:8">
      <c r="B9" s="5" t="s">
        <v>27</v>
      </c>
      <c r="C9" s="6" t="s">
        <v>155</v>
      </c>
      <c r="D9" s="94" t="s">
        <v>5</v>
      </c>
      <c r="E9" s="7">
        <v>22582</v>
      </c>
      <c r="F9" s="7">
        <v>13988</v>
      </c>
      <c r="G9" s="10">
        <f t="shared" si="0"/>
        <v>61.943140554423884</v>
      </c>
      <c r="H9" s="8"/>
    </row>
    <row r="10" spans="2:8">
      <c r="B10" s="5" t="s">
        <v>28</v>
      </c>
      <c r="C10" s="6" t="s">
        <v>156</v>
      </c>
      <c r="D10" s="94" t="s">
        <v>5</v>
      </c>
      <c r="E10" s="7">
        <v>12056</v>
      </c>
      <c r="F10" s="7">
        <v>7514</v>
      </c>
      <c r="G10" s="10">
        <f t="shared" si="0"/>
        <v>62.325812873258123</v>
      </c>
      <c r="H10" s="8"/>
    </row>
    <row r="11" spans="2:8">
      <c r="B11" s="5" t="s">
        <v>29</v>
      </c>
      <c r="C11" s="6" t="s">
        <v>157</v>
      </c>
      <c r="D11" s="94" t="s">
        <v>5</v>
      </c>
      <c r="E11" s="7">
        <v>49616</v>
      </c>
      <c r="F11" s="7">
        <v>31423</v>
      </c>
      <c r="G11" s="10">
        <f t="shared" si="0"/>
        <v>63.332392776523704</v>
      </c>
      <c r="H11" s="8"/>
    </row>
    <row r="12" spans="2:8">
      <c r="B12" s="5" t="s">
        <v>30</v>
      </c>
      <c r="C12" s="6" t="s">
        <v>158</v>
      </c>
      <c r="D12" s="94" t="s">
        <v>5</v>
      </c>
      <c r="E12" s="7">
        <v>6240</v>
      </c>
      <c r="F12" s="7">
        <v>3875</v>
      </c>
      <c r="G12" s="10">
        <f t="shared" si="0"/>
        <v>62.099358974358978</v>
      </c>
      <c r="H12" s="114"/>
    </row>
    <row r="13" spans="2:8">
      <c r="B13" s="5" t="s">
        <v>32</v>
      </c>
      <c r="C13" s="6" t="s">
        <v>159</v>
      </c>
      <c r="D13" s="94" t="s">
        <v>5</v>
      </c>
      <c r="E13" s="115">
        <v>64065</v>
      </c>
      <c r="F13" s="115">
        <v>42218</v>
      </c>
      <c r="G13" s="116">
        <f t="shared" si="0"/>
        <v>65.89869663622882</v>
      </c>
      <c r="H13" s="8"/>
    </row>
    <row r="14" spans="2:8">
      <c r="B14" s="1" t="s">
        <v>6</v>
      </c>
      <c r="C14" s="2" t="s">
        <v>31</v>
      </c>
      <c r="D14" s="94" t="s">
        <v>9</v>
      </c>
      <c r="E14" s="117">
        <v>210</v>
      </c>
      <c r="F14" s="117">
        <v>105</v>
      </c>
      <c r="G14" s="9">
        <f t="shared" si="0"/>
        <v>50</v>
      </c>
      <c r="H14" s="8"/>
    </row>
    <row r="15" spans="2:8" s="11" customFormat="1">
      <c r="B15" s="109" t="s">
        <v>6</v>
      </c>
      <c r="C15" s="90" t="s">
        <v>160</v>
      </c>
      <c r="D15" s="101"/>
      <c r="E15" s="91">
        <f>E16+E17+E18+E19+E20</f>
        <v>37668</v>
      </c>
      <c r="F15" s="91">
        <f>F16+F17+F18+F19+F20</f>
        <v>31437.599999999999</v>
      </c>
      <c r="G15" s="92">
        <f t="shared" si="0"/>
        <v>83.459700541573739</v>
      </c>
      <c r="H15" s="93"/>
    </row>
    <row r="16" spans="2:8" s="11" customFormat="1" ht="31.5">
      <c r="B16" s="79" t="s">
        <v>4</v>
      </c>
      <c r="C16" s="80" t="s">
        <v>161</v>
      </c>
      <c r="D16" s="108" t="s">
        <v>162</v>
      </c>
      <c r="E16" s="118">
        <v>15</v>
      </c>
      <c r="F16" s="118">
        <v>33</v>
      </c>
      <c r="G16" s="81">
        <f t="shared" si="0"/>
        <v>220.00000000000003</v>
      </c>
      <c r="H16" s="126" t="s">
        <v>163</v>
      </c>
    </row>
    <row r="17" spans="2:8" s="11" customFormat="1" ht="31.5">
      <c r="B17" s="82" t="s">
        <v>6</v>
      </c>
      <c r="C17" s="83" t="s">
        <v>164</v>
      </c>
      <c r="D17" s="108" t="s">
        <v>165</v>
      </c>
      <c r="E17" s="118">
        <v>37600</v>
      </c>
      <c r="F17" s="118">
        <v>31344</v>
      </c>
      <c r="G17" s="81">
        <f t="shared" si="0"/>
        <v>83.361702127659569</v>
      </c>
      <c r="H17" s="126" t="s">
        <v>163</v>
      </c>
    </row>
    <row r="18" spans="2:8" s="11" customFormat="1" ht="31.5">
      <c r="B18" s="79" t="s">
        <v>8</v>
      </c>
      <c r="C18" s="84" t="s">
        <v>166</v>
      </c>
      <c r="D18" s="108" t="s">
        <v>167</v>
      </c>
      <c r="E18" s="118">
        <v>23</v>
      </c>
      <c r="F18" s="118">
        <v>24.6</v>
      </c>
      <c r="G18" s="81">
        <f t="shared" si="0"/>
        <v>106.95652173913044</v>
      </c>
      <c r="H18" s="126" t="s">
        <v>163</v>
      </c>
    </row>
    <row r="19" spans="2:8" s="11" customFormat="1" ht="47.25">
      <c r="B19" s="79" t="s">
        <v>18</v>
      </c>
      <c r="C19" s="84" t="s">
        <v>168</v>
      </c>
      <c r="D19" s="108" t="s">
        <v>185</v>
      </c>
      <c r="E19" s="118">
        <v>20</v>
      </c>
      <c r="F19" s="118">
        <v>12</v>
      </c>
      <c r="G19" s="81">
        <f t="shared" si="0"/>
        <v>60</v>
      </c>
      <c r="H19" s="126" t="s">
        <v>163</v>
      </c>
    </row>
    <row r="20" spans="2:8" s="11" customFormat="1" ht="47.25">
      <c r="B20" s="79" t="s">
        <v>21</v>
      </c>
      <c r="C20" s="84" t="s">
        <v>168</v>
      </c>
      <c r="D20" s="108" t="s">
        <v>186</v>
      </c>
      <c r="E20" s="118">
        <v>10</v>
      </c>
      <c r="F20" s="118">
        <v>24</v>
      </c>
      <c r="G20" s="81">
        <f t="shared" si="0"/>
        <v>240</v>
      </c>
      <c r="H20" s="126" t="s">
        <v>163</v>
      </c>
    </row>
    <row r="21" spans="2:8" s="11" customFormat="1">
      <c r="B21" s="72" t="s">
        <v>8</v>
      </c>
      <c r="C21" s="13" t="s">
        <v>169</v>
      </c>
      <c r="D21" s="102"/>
      <c r="E21" s="87">
        <f>E22</f>
        <v>59160</v>
      </c>
      <c r="F21" s="87">
        <f>F22</f>
        <v>42980</v>
      </c>
      <c r="G21" s="15">
        <f>F21/E21*100</f>
        <v>72.650439486139291</v>
      </c>
      <c r="H21" s="88"/>
    </row>
    <row r="22" spans="2:8" s="12" customFormat="1" ht="26.25">
      <c r="B22" s="79" t="s">
        <v>4</v>
      </c>
      <c r="C22" s="85" t="s">
        <v>170</v>
      </c>
      <c r="D22" s="108" t="s">
        <v>171</v>
      </c>
      <c r="E22" s="120">
        <v>59160</v>
      </c>
      <c r="F22" s="120">
        <v>42980</v>
      </c>
      <c r="G22" s="86">
        <f t="shared" ref="G22:G28" si="1">F22/E22*100</f>
        <v>72.650439486139291</v>
      </c>
      <c r="H22" s="121"/>
    </row>
    <row r="23" spans="2:8" s="19" customFormat="1">
      <c r="B23" s="72" t="s">
        <v>18</v>
      </c>
      <c r="C23" s="13" t="s">
        <v>34</v>
      </c>
      <c r="D23" s="100"/>
      <c r="E23" s="14">
        <f>E24</f>
        <v>35346</v>
      </c>
      <c r="F23" s="14">
        <f>F24</f>
        <v>35346</v>
      </c>
      <c r="G23" s="15">
        <f t="shared" si="1"/>
        <v>100</v>
      </c>
      <c r="H23" s="56"/>
    </row>
    <row r="24" spans="2:8" ht="31.5">
      <c r="B24" s="1" t="s">
        <v>4</v>
      </c>
      <c r="C24" s="2" t="s">
        <v>10</v>
      </c>
      <c r="D24" s="94"/>
      <c r="E24" s="4">
        <f>SUM(E25:E29)</f>
        <v>35346</v>
      </c>
      <c r="F24" s="4">
        <f>SUM(F25:F29)</f>
        <v>35346</v>
      </c>
      <c r="G24" s="9">
        <f t="shared" si="1"/>
        <v>100</v>
      </c>
      <c r="H24" s="8"/>
    </row>
    <row r="25" spans="2:8">
      <c r="B25" s="5" t="s">
        <v>26</v>
      </c>
      <c r="C25" s="6" t="s">
        <v>11</v>
      </c>
      <c r="D25" s="94" t="s">
        <v>5</v>
      </c>
      <c r="E25" s="7">
        <v>1278</v>
      </c>
      <c r="F25" s="7">
        <v>1278</v>
      </c>
      <c r="G25" s="10">
        <f t="shared" si="1"/>
        <v>100</v>
      </c>
      <c r="H25" s="17"/>
    </row>
    <row r="26" spans="2:8">
      <c r="B26" s="5" t="s">
        <v>27</v>
      </c>
      <c r="C26" s="6" t="s">
        <v>13</v>
      </c>
      <c r="D26" s="94" t="s">
        <v>5</v>
      </c>
      <c r="E26" s="7">
        <v>5337</v>
      </c>
      <c r="F26" s="7">
        <v>5337</v>
      </c>
      <c r="G26" s="10">
        <f t="shared" si="1"/>
        <v>100</v>
      </c>
      <c r="H26" s="8"/>
    </row>
    <row r="27" spans="2:8">
      <c r="B27" s="5" t="s">
        <v>28</v>
      </c>
      <c r="C27" s="6" t="s">
        <v>15</v>
      </c>
      <c r="D27" s="94" t="s">
        <v>5</v>
      </c>
      <c r="E27" s="7">
        <v>8769</v>
      </c>
      <c r="F27" s="7">
        <v>8769</v>
      </c>
      <c r="G27" s="10">
        <f t="shared" si="1"/>
        <v>100</v>
      </c>
      <c r="H27" s="17"/>
    </row>
    <row r="28" spans="2:8">
      <c r="B28" s="5" t="s">
        <v>29</v>
      </c>
      <c r="C28" s="6" t="s">
        <v>17</v>
      </c>
      <c r="D28" s="94" t="s">
        <v>5</v>
      </c>
      <c r="E28" s="7">
        <v>12642</v>
      </c>
      <c r="F28" s="7">
        <v>12642</v>
      </c>
      <c r="G28" s="10">
        <f t="shared" si="1"/>
        <v>100</v>
      </c>
      <c r="H28" s="8"/>
    </row>
    <row r="29" spans="2:8">
      <c r="B29" s="5" t="s">
        <v>30</v>
      </c>
      <c r="C29" s="6" t="s">
        <v>23</v>
      </c>
      <c r="D29" s="94" t="s">
        <v>5</v>
      </c>
      <c r="E29" s="7">
        <v>7320</v>
      </c>
      <c r="F29" s="7">
        <v>7320</v>
      </c>
      <c r="G29" s="10">
        <f>F29/E29*100</f>
        <v>100</v>
      </c>
      <c r="H29" s="8"/>
    </row>
    <row r="30" spans="2:8" s="19" customFormat="1">
      <c r="B30" s="72" t="s">
        <v>145</v>
      </c>
      <c r="C30" s="13" t="s">
        <v>39</v>
      </c>
      <c r="D30" s="100"/>
      <c r="E30" s="14">
        <f>E31+E40+E45+E46+E47+E48+E49+E50</f>
        <v>1952</v>
      </c>
      <c r="F30" s="14">
        <f>F31+F40+F45+F46+F47+F48+F49+F50</f>
        <v>1974</v>
      </c>
      <c r="G30" s="15">
        <f t="shared" ref="G30:G31" si="2">F30/E30*100</f>
        <v>101.12704918032787</v>
      </c>
      <c r="H30" s="56"/>
    </row>
    <row r="31" spans="2:8">
      <c r="B31" s="1" t="s">
        <v>4</v>
      </c>
      <c r="C31" s="2" t="s">
        <v>42</v>
      </c>
      <c r="D31" s="94" t="s">
        <v>9</v>
      </c>
      <c r="E31" s="4">
        <f>SUM(E32:E39)</f>
        <v>784</v>
      </c>
      <c r="F31" s="4">
        <f>SUM(F32:F39)</f>
        <v>973</v>
      </c>
      <c r="G31" s="9">
        <f t="shared" si="2"/>
        <v>124.10714285714286</v>
      </c>
      <c r="H31" s="8"/>
    </row>
    <row r="32" spans="2:8">
      <c r="B32" s="5" t="s">
        <v>26</v>
      </c>
      <c r="C32" s="6" t="s">
        <v>43</v>
      </c>
      <c r="D32" s="94" t="s">
        <v>44</v>
      </c>
      <c r="E32" s="7">
        <f>180+36</f>
        <v>216</v>
      </c>
      <c r="F32" s="7">
        <f>234+53</f>
        <v>287</v>
      </c>
      <c r="G32" s="10">
        <f>F32/E32*100</f>
        <v>132.87037037037038</v>
      </c>
      <c r="H32" s="8"/>
    </row>
    <row r="33" spans="2:8">
      <c r="B33" s="5" t="s">
        <v>27</v>
      </c>
      <c r="C33" s="6" t="s">
        <v>45</v>
      </c>
      <c r="D33" s="94" t="s">
        <v>44</v>
      </c>
      <c r="E33" s="7">
        <f>154+60</f>
        <v>214</v>
      </c>
      <c r="F33" s="7">
        <f>159+95</f>
        <v>254</v>
      </c>
      <c r="G33" s="10">
        <f>F33/E33*100</f>
        <v>118.69158878504673</v>
      </c>
      <c r="H33" s="8"/>
    </row>
    <row r="34" spans="2:8">
      <c r="B34" s="5" t="s">
        <v>28</v>
      </c>
      <c r="C34" s="6" t="s">
        <v>46</v>
      </c>
      <c r="D34" s="94" t="s">
        <v>44</v>
      </c>
      <c r="E34" s="7">
        <f>50+24</f>
        <v>74</v>
      </c>
      <c r="F34" s="7">
        <f>39+61</f>
        <v>100</v>
      </c>
      <c r="G34" s="10">
        <f>F34/E34*100</f>
        <v>135.13513513513513</v>
      </c>
      <c r="H34" s="18"/>
    </row>
    <row r="35" spans="2:8">
      <c r="B35" s="5" t="s">
        <v>29</v>
      </c>
      <c r="C35" s="6" t="s">
        <v>48</v>
      </c>
      <c r="D35" s="94" t="s">
        <v>44</v>
      </c>
      <c r="E35" s="7">
        <f>60+18</f>
        <v>78</v>
      </c>
      <c r="F35" s="7">
        <f>80+16</f>
        <v>96</v>
      </c>
      <c r="G35" s="10">
        <f t="shared" ref="G35:G40" si="3">F35/E35*100</f>
        <v>123.07692307692308</v>
      </c>
      <c r="H35" s="18"/>
    </row>
    <row r="36" spans="2:8">
      <c r="B36" s="5" t="s">
        <v>30</v>
      </c>
      <c r="C36" s="6" t="s">
        <v>49</v>
      </c>
      <c r="D36" s="94" t="s">
        <v>44</v>
      </c>
      <c r="E36" s="7">
        <f>36+20</f>
        <v>56</v>
      </c>
      <c r="F36" s="7">
        <f>33+25</f>
        <v>58</v>
      </c>
      <c r="G36" s="10">
        <f t="shared" si="3"/>
        <v>103.57142857142858</v>
      </c>
      <c r="H36" s="18"/>
    </row>
    <row r="37" spans="2:8">
      <c r="B37" s="5" t="s">
        <v>32</v>
      </c>
      <c r="C37" s="6" t="s">
        <v>50</v>
      </c>
      <c r="D37" s="94" t="s">
        <v>44</v>
      </c>
      <c r="E37" s="7">
        <f>70+10</f>
        <v>80</v>
      </c>
      <c r="F37" s="7">
        <f>70+41</f>
        <v>111</v>
      </c>
      <c r="G37" s="10">
        <f t="shared" si="3"/>
        <v>138.75</v>
      </c>
      <c r="H37" s="18"/>
    </row>
    <row r="38" spans="2:8">
      <c r="B38" s="5" t="s">
        <v>47</v>
      </c>
      <c r="C38" s="6" t="s">
        <v>51</v>
      </c>
      <c r="D38" s="94" t="s">
        <v>44</v>
      </c>
      <c r="E38" s="7">
        <v>56</v>
      </c>
      <c r="F38" s="7">
        <v>56</v>
      </c>
      <c r="G38" s="10">
        <f t="shared" si="3"/>
        <v>100</v>
      </c>
      <c r="H38" s="18"/>
    </row>
    <row r="39" spans="2:8">
      <c r="B39" s="5" t="s">
        <v>189</v>
      </c>
      <c r="C39" s="6" t="s">
        <v>190</v>
      </c>
      <c r="D39" s="94" t="s">
        <v>44</v>
      </c>
      <c r="E39" s="7">
        <v>10</v>
      </c>
      <c r="F39" s="7">
        <v>11</v>
      </c>
      <c r="G39" s="10">
        <f t="shared" si="3"/>
        <v>110.00000000000001</v>
      </c>
      <c r="H39" s="18"/>
    </row>
    <row r="40" spans="2:8">
      <c r="B40" s="1" t="s">
        <v>6</v>
      </c>
      <c r="C40" s="2" t="s">
        <v>52</v>
      </c>
      <c r="D40" s="94" t="s">
        <v>9</v>
      </c>
      <c r="E40" s="4">
        <f>SUM(E41:E44)</f>
        <v>192</v>
      </c>
      <c r="F40" s="4">
        <f>SUM(F41:F44)</f>
        <v>295</v>
      </c>
      <c r="G40" s="9">
        <f t="shared" si="3"/>
        <v>153.64583333333331</v>
      </c>
      <c r="H40" s="8"/>
    </row>
    <row r="41" spans="2:8">
      <c r="B41" s="5" t="s">
        <v>7</v>
      </c>
      <c r="C41" s="6" t="s">
        <v>53</v>
      </c>
      <c r="D41" s="94" t="s">
        <v>44</v>
      </c>
      <c r="E41" s="7">
        <f>96+30</f>
        <v>126</v>
      </c>
      <c r="F41" s="7">
        <f>129+50</f>
        <v>179</v>
      </c>
      <c r="G41" s="10">
        <f>F41/E41*100</f>
        <v>142.06349206349208</v>
      </c>
      <c r="H41" s="8"/>
    </row>
    <row r="42" spans="2:8">
      <c r="B42" s="5" t="s">
        <v>12</v>
      </c>
      <c r="C42" s="6" t="s">
        <v>54</v>
      </c>
      <c r="D42" s="94" t="s">
        <v>44</v>
      </c>
      <c r="E42" s="7">
        <f>10+16</f>
        <v>26</v>
      </c>
      <c r="F42" s="7">
        <f>21+23</f>
        <v>44</v>
      </c>
      <c r="G42" s="10">
        <f>F42/E42*100</f>
        <v>169.23076923076923</v>
      </c>
      <c r="H42" s="8"/>
    </row>
    <row r="43" spans="2:8">
      <c r="B43" s="5" t="s">
        <v>14</v>
      </c>
      <c r="C43" s="6" t="s">
        <v>55</v>
      </c>
      <c r="D43" s="94" t="s">
        <v>44</v>
      </c>
      <c r="E43" s="7">
        <f>10+6</f>
        <v>16</v>
      </c>
      <c r="F43" s="7">
        <f>22+10</f>
        <v>32</v>
      </c>
      <c r="G43" s="10">
        <f>F43/E43*100</f>
        <v>200</v>
      </c>
      <c r="H43" s="18"/>
    </row>
    <row r="44" spans="2:8">
      <c r="B44" s="5" t="s">
        <v>16</v>
      </c>
      <c r="C44" s="6" t="s">
        <v>56</v>
      </c>
      <c r="D44" s="94" t="s">
        <v>44</v>
      </c>
      <c r="E44" s="7">
        <v>24</v>
      </c>
      <c r="F44" s="7">
        <v>40</v>
      </c>
      <c r="G44" s="10">
        <f t="shared" ref="G44:G50" si="4">F44/E44*100</f>
        <v>166.66666666666669</v>
      </c>
      <c r="H44" s="18"/>
    </row>
    <row r="45" spans="2:8">
      <c r="B45" s="1" t="s">
        <v>8</v>
      </c>
      <c r="C45" s="2" t="s">
        <v>31</v>
      </c>
      <c r="D45" s="94" t="s">
        <v>9</v>
      </c>
      <c r="E45" s="4">
        <v>515</v>
      </c>
      <c r="F45" s="4">
        <v>385</v>
      </c>
      <c r="G45" s="9">
        <f t="shared" si="4"/>
        <v>74.757281553398059</v>
      </c>
      <c r="H45" s="18"/>
    </row>
    <row r="46" spans="2:8" ht="31.5">
      <c r="B46" s="1" t="s">
        <v>18</v>
      </c>
      <c r="C46" s="2" t="s">
        <v>19</v>
      </c>
      <c r="D46" s="95" t="s">
        <v>20</v>
      </c>
      <c r="E46" s="4">
        <v>104</v>
      </c>
      <c r="F46" s="4">
        <v>29</v>
      </c>
      <c r="G46" s="9">
        <f t="shared" si="4"/>
        <v>27.884615384615387</v>
      </c>
      <c r="H46" s="8"/>
    </row>
    <row r="47" spans="2:8" ht="26.25">
      <c r="B47" s="1" t="s">
        <v>21</v>
      </c>
      <c r="C47" s="2" t="s">
        <v>22</v>
      </c>
      <c r="D47" s="95" t="s">
        <v>25</v>
      </c>
      <c r="E47" s="4">
        <v>13</v>
      </c>
      <c r="F47" s="4">
        <v>4</v>
      </c>
      <c r="G47" s="9">
        <f t="shared" si="4"/>
        <v>30.76923076923077</v>
      </c>
      <c r="H47" s="8"/>
    </row>
    <row r="48" spans="2:8" ht="31.5">
      <c r="B48" s="1" t="s">
        <v>24</v>
      </c>
      <c r="C48" s="2" t="s">
        <v>40</v>
      </c>
      <c r="D48" s="95" t="s">
        <v>25</v>
      </c>
      <c r="E48" s="4">
        <v>231</v>
      </c>
      <c r="F48" s="4">
        <v>231</v>
      </c>
      <c r="G48" s="9">
        <f t="shared" si="4"/>
        <v>100</v>
      </c>
      <c r="H48" s="8"/>
    </row>
    <row r="49" spans="1:8" ht="63">
      <c r="B49" s="1" t="s">
        <v>35</v>
      </c>
      <c r="C49" s="2" t="s">
        <v>37</v>
      </c>
      <c r="D49" s="95" t="s">
        <v>20</v>
      </c>
      <c r="E49" s="4">
        <v>3</v>
      </c>
      <c r="F49" s="4">
        <v>6</v>
      </c>
      <c r="G49" s="9">
        <f t="shared" si="4"/>
        <v>200</v>
      </c>
      <c r="H49" s="8"/>
    </row>
    <row r="50" spans="1:8" ht="31.5">
      <c r="B50" s="1" t="s">
        <v>57</v>
      </c>
      <c r="C50" s="2" t="s">
        <v>38</v>
      </c>
      <c r="D50" s="95" t="s">
        <v>36</v>
      </c>
      <c r="E50" s="4">
        <v>110</v>
      </c>
      <c r="F50" s="4">
        <v>51</v>
      </c>
      <c r="G50" s="9">
        <f t="shared" si="4"/>
        <v>46.36363636363636</v>
      </c>
      <c r="H50" s="8"/>
    </row>
    <row r="51" spans="1:8" s="19" customFormat="1">
      <c r="A51" s="30"/>
      <c r="B51" s="72" t="s">
        <v>21</v>
      </c>
      <c r="C51" s="13" t="s">
        <v>60</v>
      </c>
      <c r="D51" s="103"/>
      <c r="E51" s="14">
        <f>E52+E56+E61+E64+E77</f>
        <v>2384</v>
      </c>
      <c r="F51" s="14">
        <f>F52+F56+F61+F64+F77</f>
        <v>2360</v>
      </c>
      <c r="G51" s="15">
        <f t="shared" ref="G51:G82" si="5">F51/E51*100</f>
        <v>98.993288590604024</v>
      </c>
      <c r="H51" s="55"/>
    </row>
    <row r="52" spans="1:8" ht="31.5">
      <c r="A52" s="123"/>
      <c r="B52" s="1" t="s">
        <v>4</v>
      </c>
      <c r="C52" s="2" t="s">
        <v>125</v>
      </c>
      <c r="D52" s="96" t="s">
        <v>61</v>
      </c>
      <c r="E52" s="61">
        <f>SUM(E53:E55)</f>
        <v>503</v>
      </c>
      <c r="F52" s="61">
        <f>SUM(F53:F55)</f>
        <v>497</v>
      </c>
      <c r="G52" s="51">
        <f t="shared" si="5"/>
        <v>98.807157057654067</v>
      </c>
      <c r="H52" s="62"/>
    </row>
    <row r="53" spans="1:8" ht="47.25">
      <c r="A53" s="123"/>
      <c r="B53" s="5" t="s">
        <v>27</v>
      </c>
      <c r="C53" s="6" t="s">
        <v>126</v>
      </c>
      <c r="D53" s="95" t="s">
        <v>61</v>
      </c>
      <c r="E53" s="31">
        <v>11</v>
      </c>
      <c r="F53" s="31">
        <v>11</v>
      </c>
      <c r="G53" s="32">
        <f t="shared" si="5"/>
        <v>100</v>
      </c>
      <c r="H53" s="33"/>
    </row>
    <row r="54" spans="1:8">
      <c r="A54" s="123"/>
      <c r="B54" s="5" t="s">
        <v>28</v>
      </c>
      <c r="C54" s="6" t="s">
        <v>128</v>
      </c>
      <c r="D54" s="95" t="s">
        <v>61</v>
      </c>
      <c r="E54" s="31">
        <v>491</v>
      </c>
      <c r="F54" s="31">
        <v>484</v>
      </c>
      <c r="G54" s="32">
        <f>F54/E54*100</f>
        <v>98.574338085539708</v>
      </c>
      <c r="H54" s="35"/>
    </row>
    <row r="55" spans="1:8">
      <c r="A55" s="123"/>
      <c r="B55" s="5" t="s">
        <v>29</v>
      </c>
      <c r="C55" s="6" t="s">
        <v>129</v>
      </c>
      <c r="D55" s="95" t="s">
        <v>61</v>
      </c>
      <c r="E55" s="31">
        <v>1</v>
      </c>
      <c r="F55" s="31">
        <v>2</v>
      </c>
      <c r="G55" s="32">
        <f t="shared" si="5"/>
        <v>200</v>
      </c>
      <c r="H55" s="33"/>
    </row>
    <row r="56" spans="1:8" ht="31.5">
      <c r="A56" s="123"/>
      <c r="B56" s="1" t="s">
        <v>6</v>
      </c>
      <c r="C56" s="2" t="s">
        <v>130</v>
      </c>
      <c r="D56" s="95" t="s">
        <v>61</v>
      </c>
      <c r="E56" s="34">
        <f>SUM(E57:E60)</f>
        <v>529</v>
      </c>
      <c r="F56" s="34">
        <f>SUM(F57:F60)</f>
        <v>529</v>
      </c>
      <c r="G56" s="32">
        <f t="shared" si="5"/>
        <v>100</v>
      </c>
      <c r="H56" s="33"/>
    </row>
    <row r="57" spans="1:8" ht="47.25">
      <c r="A57" s="123"/>
      <c r="B57" s="5" t="s">
        <v>7</v>
      </c>
      <c r="C57" s="6" t="s">
        <v>131</v>
      </c>
      <c r="D57" s="95" t="s">
        <v>61</v>
      </c>
      <c r="E57" s="31">
        <v>10</v>
      </c>
      <c r="F57" s="31">
        <v>9</v>
      </c>
      <c r="G57" s="32">
        <f>F57/E57*100</f>
        <v>90</v>
      </c>
      <c r="H57" s="36"/>
    </row>
    <row r="58" spans="1:8" ht="47.25">
      <c r="A58" s="123"/>
      <c r="B58" s="5" t="s">
        <v>12</v>
      </c>
      <c r="C58" s="6" t="s">
        <v>133</v>
      </c>
      <c r="D58" s="95" t="s">
        <v>61</v>
      </c>
      <c r="E58" s="31">
        <v>280</v>
      </c>
      <c r="F58" s="31">
        <v>303</v>
      </c>
      <c r="G58" s="32">
        <f>F58/E58*100</f>
        <v>108.21428571428571</v>
      </c>
      <c r="H58" s="36"/>
    </row>
    <row r="59" spans="1:8" ht="23.25" customHeight="1">
      <c r="A59" s="123"/>
      <c r="B59" s="5" t="s">
        <v>14</v>
      </c>
      <c r="C59" s="6" t="s">
        <v>134</v>
      </c>
      <c r="D59" s="95" t="s">
        <v>61</v>
      </c>
      <c r="E59" s="31">
        <v>239</v>
      </c>
      <c r="F59" s="31">
        <v>217</v>
      </c>
      <c r="G59" s="32">
        <f t="shared" si="5"/>
        <v>90.794979079497907</v>
      </c>
      <c r="H59" s="33"/>
    </row>
    <row r="60" spans="1:8" ht="31.5">
      <c r="A60" s="123"/>
      <c r="B60" s="5" t="s">
        <v>16</v>
      </c>
      <c r="C60" s="6" t="s">
        <v>135</v>
      </c>
      <c r="D60" s="95" t="s">
        <v>61</v>
      </c>
      <c r="E60" s="31"/>
      <c r="F60" s="31">
        <v>0</v>
      </c>
      <c r="G60" s="32" t="e">
        <f t="shared" si="5"/>
        <v>#DIV/0!</v>
      </c>
      <c r="H60" s="35"/>
    </row>
    <row r="61" spans="1:8" ht="31.5">
      <c r="A61" s="123"/>
      <c r="B61" s="1" t="s">
        <v>8</v>
      </c>
      <c r="C61" s="2" t="s">
        <v>136</v>
      </c>
      <c r="D61" s="95" t="s">
        <v>61</v>
      </c>
      <c r="E61" s="34">
        <f>SUM(E62:E63)</f>
        <v>121</v>
      </c>
      <c r="F61" s="34">
        <f>SUM(F62:F63)</f>
        <v>123</v>
      </c>
      <c r="G61" s="63">
        <f t="shared" si="5"/>
        <v>101.65289256198346</v>
      </c>
      <c r="H61" s="35"/>
    </row>
    <row r="62" spans="1:8" ht="47.25">
      <c r="A62" s="123"/>
      <c r="B62" s="5" t="s">
        <v>62</v>
      </c>
      <c r="C62" s="6" t="s">
        <v>137</v>
      </c>
      <c r="D62" s="95" t="s">
        <v>61</v>
      </c>
      <c r="E62" s="31"/>
      <c r="F62" s="31">
        <v>0</v>
      </c>
      <c r="G62" s="32" t="e">
        <f t="shared" si="5"/>
        <v>#DIV/0!</v>
      </c>
      <c r="H62" s="35"/>
    </row>
    <row r="63" spans="1:8" ht="47.25">
      <c r="A63" s="123"/>
      <c r="B63" s="5" t="s">
        <v>144</v>
      </c>
      <c r="C63" s="6" t="s">
        <v>139</v>
      </c>
      <c r="D63" s="95" t="s">
        <v>61</v>
      </c>
      <c r="E63" s="31">
        <v>121</v>
      </c>
      <c r="F63" s="31">
        <v>123</v>
      </c>
      <c r="G63" s="32">
        <f>F63/E63*100</f>
        <v>101.65289256198346</v>
      </c>
      <c r="H63" s="35"/>
    </row>
    <row r="64" spans="1:8">
      <c r="A64" s="123"/>
      <c r="B64" s="1" t="s">
        <v>18</v>
      </c>
      <c r="C64" s="2" t="s">
        <v>64</v>
      </c>
      <c r="D64" s="95" t="s">
        <v>61</v>
      </c>
      <c r="E64" s="40">
        <f>E65+E69+E71+E75</f>
        <v>1081</v>
      </c>
      <c r="F64" s="40">
        <f>F65+F69+F71+F75</f>
        <v>1061</v>
      </c>
      <c r="G64" s="32">
        <f t="shared" si="5"/>
        <v>98.14986123959298</v>
      </c>
      <c r="H64" s="110"/>
    </row>
    <row r="65" spans="1:9" ht="31.5">
      <c r="A65" s="123"/>
      <c r="B65" s="5" t="s">
        <v>145</v>
      </c>
      <c r="C65" s="6" t="s">
        <v>66</v>
      </c>
      <c r="D65" s="95" t="s">
        <v>61</v>
      </c>
      <c r="E65" s="38">
        <f>E66+E67+E68</f>
        <v>273</v>
      </c>
      <c r="F65" s="38">
        <f>F66+F67+F68</f>
        <v>274</v>
      </c>
      <c r="G65" s="32">
        <f t="shared" si="5"/>
        <v>100.36630036630036</v>
      </c>
      <c r="H65" s="35"/>
      <c r="I65" s="64"/>
    </row>
    <row r="66" spans="1:9">
      <c r="A66" s="123"/>
      <c r="B66" s="5"/>
      <c r="C66" s="37" t="s">
        <v>67</v>
      </c>
      <c r="D66" s="95" t="s">
        <v>61</v>
      </c>
      <c r="E66" s="38">
        <v>125</v>
      </c>
      <c r="F66" s="38">
        <v>127</v>
      </c>
      <c r="G66" s="32">
        <f t="shared" si="5"/>
        <v>101.6</v>
      </c>
      <c r="H66" s="35"/>
      <c r="I66" s="64"/>
    </row>
    <row r="67" spans="1:9">
      <c r="A67" s="123"/>
      <c r="B67" s="5"/>
      <c r="C67" s="37" t="s">
        <v>68</v>
      </c>
      <c r="D67" s="95" t="s">
        <v>61</v>
      </c>
      <c r="E67" s="38">
        <v>128</v>
      </c>
      <c r="F67" s="38">
        <v>128</v>
      </c>
      <c r="G67" s="32">
        <f t="shared" si="5"/>
        <v>100</v>
      </c>
      <c r="H67" s="35"/>
      <c r="I67" s="64"/>
    </row>
    <row r="68" spans="1:9">
      <c r="A68" s="123"/>
      <c r="B68" s="5"/>
      <c r="C68" s="37" t="s">
        <v>69</v>
      </c>
      <c r="D68" s="95" t="s">
        <v>61</v>
      </c>
      <c r="E68" s="38">
        <v>20</v>
      </c>
      <c r="F68" s="38">
        <v>19</v>
      </c>
      <c r="G68" s="32">
        <f t="shared" si="5"/>
        <v>95</v>
      </c>
      <c r="H68" s="35"/>
      <c r="I68" s="64"/>
    </row>
    <row r="69" spans="1:9" ht="31.5">
      <c r="A69" s="123"/>
      <c r="B69" s="5" t="s">
        <v>146</v>
      </c>
      <c r="C69" s="6" t="s">
        <v>71</v>
      </c>
      <c r="D69" s="95" t="s">
        <v>61</v>
      </c>
      <c r="E69" s="38">
        <f>E70</f>
        <v>0</v>
      </c>
      <c r="F69" s="38">
        <f>F70</f>
        <v>0</v>
      </c>
      <c r="G69" s="32" t="e">
        <f t="shared" si="5"/>
        <v>#DIV/0!</v>
      </c>
      <c r="H69" s="39"/>
    </row>
    <row r="70" spans="1:9">
      <c r="A70" s="123"/>
      <c r="B70" s="5"/>
      <c r="C70" s="37" t="s">
        <v>67</v>
      </c>
      <c r="D70" s="95" t="s">
        <v>61</v>
      </c>
      <c r="E70" s="38">
        <v>0</v>
      </c>
      <c r="F70" s="38">
        <v>0</v>
      </c>
      <c r="G70" s="32" t="e">
        <f t="shared" si="5"/>
        <v>#DIV/0!</v>
      </c>
      <c r="H70" s="39"/>
    </row>
    <row r="71" spans="1:9" ht="47.25">
      <c r="A71" s="123"/>
      <c r="B71" s="5" t="s">
        <v>147</v>
      </c>
      <c r="C71" s="6" t="s">
        <v>73</v>
      </c>
      <c r="D71" s="95" t="s">
        <v>61</v>
      </c>
      <c r="E71" s="38">
        <f>E73+E74+E72</f>
        <v>430</v>
      </c>
      <c r="F71" s="38">
        <f>F73+F74+F72</f>
        <v>417</v>
      </c>
      <c r="G71" s="32">
        <f t="shared" si="5"/>
        <v>96.976744186046517</v>
      </c>
      <c r="H71" s="39"/>
    </row>
    <row r="72" spans="1:9">
      <c r="A72" s="123"/>
      <c r="B72" s="5"/>
      <c r="C72" s="37" t="s">
        <v>67</v>
      </c>
      <c r="D72" s="95" t="s">
        <v>61</v>
      </c>
      <c r="E72" s="38"/>
      <c r="F72" s="38"/>
      <c r="G72" s="32" t="e">
        <f t="shared" si="5"/>
        <v>#DIV/0!</v>
      </c>
      <c r="H72" s="39"/>
    </row>
    <row r="73" spans="1:9">
      <c r="A73" s="123"/>
      <c r="B73" s="5"/>
      <c r="C73" s="37" t="s">
        <v>68</v>
      </c>
      <c r="D73" s="95" t="s">
        <v>61</v>
      </c>
      <c r="E73" s="38">
        <v>358</v>
      </c>
      <c r="F73" s="38">
        <v>343</v>
      </c>
      <c r="G73" s="32">
        <f t="shared" si="5"/>
        <v>95.810055865921782</v>
      </c>
      <c r="H73" s="39"/>
    </row>
    <row r="74" spans="1:9">
      <c r="A74" s="123"/>
      <c r="B74" s="5"/>
      <c r="C74" s="37" t="s">
        <v>69</v>
      </c>
      <c r="D74" s="95" t="s">
        <v>61</v>
      </c>
      <c r="E74" s="38">
        <v>72</v>
      </c>
      <c r="F74" s="38">
        <v>74</v>
      </c>
      <c r="G74" s="32">
        <f t="shared" si="5"/>
        <v>102.77777777777777</v>
      </c>
      <c r="H74" s="39"/>
    </row>
    <row r="75" spans="1:9" ht="47.25">
      <c r="A75" s="65"/>
      <c r="B75" s="5" t="s">
        <v>148</v>
      </c>
      <c r="C75" s="6" t="s">
        <v>75</v>
      </c>
      <c r="D75" s="95" t="s">
        <v>61</v>
      </c>
      <c r="E75" s="38">
        <f>E76</f>
        <v>378</v>
      </c>
      <c r="F75" s="38">
        <f>F76</f>
        <v>370</v>
      </c>
      <c r="G75" s="32">
        <f t="shared" si="5"/>
        <v>97.883597883597886</v>
      </c>
      <c r="H75" s="39"/>
    </row>
    <row r="76" spans="1:9">
      <c r="A76" s="123"/>
      <c r="B76" s="5"/>
      <c r="C76" s="37" t="s">
        <v>67</v>
      </c>
      <c r="D76" s="95" t="s">
        <v>61</v>
      </c>
      <c r="E76" s="38">
        <v>378</v>
      </c>
      <c r="F76" s="38">
        <v>370</v>
      </c>
      <c r="G76" s="32">
        <f t="shared" si="5"/>
        <v>97.883597883597886</v>
      </c>
      <c r="H76" s="39"/>
    </row>
    <row r="77" spans="1:9">
      <c r="A77" s="123"/>
      <c r="B77" s="5" t="s">
        <v>21</v>
      </c>
      <c r="C77" s="2" t="s">
        <v>31</v>
      </c>
      <c r="D77" s="95" t="s">
        <v>76</v>
      </c>
      <c r="E77" s="40">
        <f>E78</f>
        <v>150</v>
      </c>
      <c r="F77" s="40">
        <f>F78</f>
        <v>150</v>
      </c>
      <c r="G77" s="32">
        <f t="shared" si="5"/>
        <v>100</v>
      </c>
      <c r="H77" s="35"/>
    </row>
    <row r="78" spans="1:9">
      <c r="A78" s="123"/>
      <c r="B78" s="5" t="s">
        <v>149</v>
      </c>
      <c r="C78" s="6" t="s">
        <v>142</v>
      </c>
      <c r="D78" s="95" t="s">
        <v>76</v>
      </c>
      <c r="E78" s="40">
        <v>150</v>
      </c>
      <c r="F78" s="40">
        <v>150</v>
      </c>
      <c r="G78" s="32">
        <f t="shared" si="5"/>
        <v>100</v>
      </c>
      <c r="H78" s="35"/>
    </row>
    <row r="79" spans="1:9">
      <c r="A79" s="123"/>
      <c r="B79" s="72" t="s">
        <v>24</v>
      </c>
      <c r="C79" s="13" t="s">
        <v>80</v>
      </c>
      <c r="D79" s="103"/>
      <c r="E79" s="14">
        <f>E80+E84+E87+E90+E102</f>
        <v>996</v>
      </c>
      <c r="F79" s="14">
        <f>F80+F84+F87+F90+F102</f>
        <v>991</v>
      </c>
      <c r="G79" s="69">
        <f t="shared" si="5"/>
        <v>99.497991967871485</v>
      </c>
      <c r="H79" s="55"/>
    </row>
    <row r="80" spans="1:9" ht="31.5">
      <c r="A80" s="123"/>
      <c r="B80" s="1" t="s">
        <v>4</v>
      </c>
      <c r="C80" s="2" t="s">
        <v>125</v>
      </c>
      <c r="D80" s="96" t="s">
        <v>61</v>
      </c>
      <c r="E80" s="61">
        <f>SUM(E81:E83)</f>
        <v>243</v>
      </c>
      <c r="F80" s="61">
        <f>SUM(F81:F83)</f>
        <v>241</v>
      </c>
      <c r="G80" s="51">
        <f t="shared" si="5"/>
        <v>99.176954732510296</v>
      </c>
      <c r="H80" s="62"/>
    </row>
    <row r="81" spans="1:8" ht="47.25">
      <c r="A81" s="123"/>
      <c r="B81" s="5" t="s">
        <v>26</v>
      </c>
      <c r="C81" s="6" t="s">
        <v>126</v>
      </c>
      <c r="D81" s="95" t="s">
        <v>61</v>
      </c>
      <c r="E81" s="31">
        <v>32</v>
      </c>
      <c r="F81" s="31">
        <v>30</v>
      </c>
      <c r="G81" s="32">
        <f t="shared" si="5"/>
        <v>93.75</v>
      </c>
      <c r="H81" s="33"/>
    </row>
    <row r="82" spans="1:8" ht="63">
      <c r="A82" s="123"/>
      <c r="B82" s="5" t="s">
        <v>27</v>
      </c>
      <c r="C82" s="6" t="s">
        <v>127</v>
      </c>
      <c r="D82" s="95" t="s">
        <v>61</v>
      </c>
      <c r="E82" s="34">
        <v>1</v>
      </c>
      <c r="F82" s="34">
        <v>1</v>
      </c>
      <c r="G82" s="32">
        <f t="shared" si="5"/>
        <v>100</v>
      </c>
      <c r="H82" s="33"/>
    </row>
    <row r="83" spans="1:8">
      <c r="A83" s="123"/>
      <c r="B83" s="5" t="s">
        <v>28</v>
      </c>
      <c r="C83" s="6" t="s">
        <v>128</v>
      </c>
      <c r="D83" s="95" t="s">
        <v>61</v>
      </c>
      <c r="E83" s="31">
        <v>210</v>
      </c>
      <c r="F83" s="31">
        <v>210</v>
      </c>
      <c r="G83" s="32">
        <f>F83/E83*100</f>
        <v>100</v>
      </c>
      <c r="H83" s="35"/>
    </row>
    <row r="84" spans="1:8" ht="31.5">
      <c r="A84" s="123"/>
      <c r="B84" s="1" t="s">
        <v>6</v>
      </c>
      <c r="C84" s="2" t="s">
        <v>130</v>
      </c>
      <c r="D84" s="95" t="s">
        <v>61</v>
      </c>
      <c r="E84" s="34">
        <f>SUM(E85:E86)</f>
        <v>228</v>
      </c>
      <c r="F84" s="34">
        <f>SUM(F85:F86)</f>
        <v>228</v>
      </c>
      <c r="G84" s="32">
        <f t="shared" ref="G84" si="6">F84/E84*100</f>
        <v>100</v>
      </c>
      <c r="H84" s="33"/>
    </row>
    <row r="85" spans="1:8" ht="47.25">
      <c r="A85" s="123"/>
      <c r="B85" s="5" t="s">
        <v>7</v>
      </c>
      <c r="C85" s="6" t="s">
        <v>131</v>
      </c>
      <c r="D85" s="95" t="s">
        <v>61</v>
      </c>
      <c r="E85" s="31">
        <v>29</v>
      </c>
      <c r="F85" s="31">
        <v>25</v>
      </c>
      <c r="G85" s="32">
        <f>F85/E85*100</f>
        <v>86.206896551724128</v>
      </c>
      <c r="H85" s="36"/>
    </row>
    <row r="86" spans="1:8">
      <c r="A86" s="123"/>
      <c r="B86" s="5" t="s">
        <v>12</v>
      </c>
      <c r="C86" s="6" t="s">
        <v>134</v>
      </c>
      <c r="D86" s="95" t="s">
        <v>61</v>
      </c>
      <c r="E86" s="31">
        <v>199</v>
      </c>
      <c r="F86" s="31">
        <v>203</v>
      </c>
      <c r="G86" s="32">
        <f t="shared" ref="G86:G87" si="7">F86/E86*100</f>
        <v>102.01005025125629</v>
      </c>
      <c r="H86" s="33"/>
    </row>
    <row r="87" spans="1:8" ht="31.5">
      <c r="A87" s="123"/>
      <c r="B87" s="1" t="s">
        <v>8</v>
      </c>
      <c r="C87" s="2" t="s">
        <v>136</v>
      </c>
      <c r="D87" s="95" t="s">
        <v>61</v>
      </c>
      <c r="E87" s="34">
        <f>SUM(E88:E89)</f>
        <v>27</v>
      </c>
      <c r="F87" s="34">
        <f>SUM(F88:F89)</f>
        <v>25</v>
      </c>
      <c r="G87" s="63">
        <f t="shared" si="7"/>
        <v>92.592592592592595</v>
      </c>
      <c r="H87" s="35"/>
    </row>
    <row r="88" spans="1:8" ht="47.25">
      <c r="A88" s="123"/>
      <c r="B88" s="5" t="s">
        <v>62</v>
      </c>
      <c r="C88" s="6" t="s">
        <v>139</v>
      </c>
      <c r="D88" s="95" t="s">
        <v>61</v>
      </c>
      <c r="E88" s="31">
        <v>14</v>
      </c>
      <c r="F88" s="31">
        <v>11</v>
      </c>
      <c r="G88" s="32">
        <f>F88/E88*100</f>
        <v>78.571428571428569</v>
      </c>
      <c r="H88" s="35"/>
    </row>
    <row r="89" spans="1:8">
      <c r="A89" s="123"/>
      <c r="B89" s="5" t="s">
        <v>144</v>
      </c>
      <c r="C89" s="6" t="s">
        <v>141</v>
      </c>
      <c r="D89" s="95" t="s">
        <v>61</v>
      </c>
      <c r="E89" s="31">
        <v>13</v>
      </c>
      <c r="F89" s="31">
        <v>14</v>
      </c>
      <c r="G89" s="32">
        <f t="shared" ref="G89:G106" si="8">F89/E89*100</f>
        <v>107.69230769230769</v>
      </c>
      <c r="H89" s="35"/>
    </row>
    <row r="90" spans="1:8">
      <c r="A90" s="123"/>
      <c r="B90" s="1" t="s">
        <v>18</v>
      </c>
      <c r="C90" s="2" t="s">
        <v>64</v>
      </c>
      <c r="D90" s="95" t="s">
        <v>61</v>
      </c>
      <c r="E90" s="34">
        <f>E91+E95+E97+E100</f>
        <v>438</v>
      </c>
      <c r="F90" s="34">
        <f>F91+F95+F97+F100</f>
        <v>437</v>
      </c>
      <c r="G90" s="32">
        <f t="shared" si="8"/>
        <v>99.771689497716892</v>
      </c>
      <c r="H90" s="35"/>
    </row>
    <row r="91" spans="1:8" ht="31.5">
      <c r="A91" s="123"/>
      <c r="B91" s="5" t="s">
        <v>145</v>
      </c>
      <c r="C91" s="6" t="s">
        <v>66</v>
      </c>
      <c r="D91" s="95" t="s">
        <v>61</v>
      </c>
      <c r="E91" s="31">
        <f>E92+E93+E94</f>
        <v>271</v>
      </c>
      <c r="F91" s="41">
        <f>F92+F93+F94</f>
        <v>273</v>
      </c>
      <c r="G91" s="32">
        <f t="shared" si="8"/>
        <v>100.7380073800738</v>
      </c>
      <c r="H91" s="35"/>
    </row>
    <row r="92" spans="1:8">
      <c r="A92" s="123"/>
      <c r="B92" s="5"/>
      <c r="C92" s="37" t="s">
        <v>67</v>
      </c>
      <c r="D92" s="95" t="s">
        <v>61</v>
      </c>
      <c r="E92" s="31">
        <v>136</v>
      </c>
      <c r="F92" s="31">
        <v>139</v>
      </c>
      <c r="G92" s="32">
        <f t="shared" si="8"/>
        <v>102.20588235294117</v>
      </c>
      <c r="H92" s="39"/>
    </row>
    <row r="93" spans="1:8">
      <c r="A93" s="123"/>
      <c r="B93" s="5"/>
      <c r="C93" s="37" t="s">
        <v>68</v>
      </c>
      <c r="D93" s="95" t="s">
        <v>61</v>
      </c>
      <c r="E93" s="31">
        <v>126</v>
      </c>
      <c r="F93" s="31">
        <v>127</v>
      </c>
      <c r="G93" s="32">
        <f t="shared" si="8"/>
        <v>100.79365079365078</v>
      </c>
      <c r="H93" s="39"/>
    </row>
    <row r="94" spans="1:8">
      <c r="A94" s="123"/>
      <c r="B94" s="5"/>
      <c r="C94" s="37" t="s">
        <v>69</v>
      </c>
      <c r="D94" s="95" t="s">
        <v>61</v>
      </c>
      <c r="E94" s="31">
        <v>9</v>
      </c>
      <c r="F94" s="31">
        <v>7</v>
      </c>
      <c r="G94" s="32">
        <f t="shared" si="8"/>
        <v>77.777777777777786</v>
      </c>
      <c r="H94" s="39"/>
    </row>
    <row r="95" spans="1:8" ht="31.5">
      <c r="A95" s="123"/>
      <c r="B95" s="5" t="s">
        <v>146</v>
      </c>
      <c r="C95" s="6" t="s">
        <v>71</v>
      </c>
      <c r="D95" s="95" t="s">
        <v>61</v>
      </c>
      <c r="E95" s="31">
        <f>E96</f>
        <v>2</v>
      </c>
      <c r="F95" s="31">
        <f>F96</f>
        <v>2</v>
      </c>
      <c r="G95" s="32">
        <f t="shared" si="8"/>
        <v>100</v>
      </c>
      <c r="H95" s="39"/>
    </row>
    <row r="96" spans="1:8">
      <c r="A96" s="123"/>
      <c r="B96" s="5"/>
      <c r="C96" s="37" t="s">
        <v>67</v>
      </c>
      <c r="D96" s="95" t="s">
        <v>61</v>
      </c>
      <c r="E96" s="31">
        <v>2</v>
      </c>
      <c r="F96" s="31">
        <v>2</v>
      </c>
      <c r="G96" s="32">
        <f t="shared" si="8"/>
        <v>100</v>
      </c>
      <c r="H96" s="39"/>
    </row>
    <row r="97" spans="1:8" ht="63">
      <c r="A97" s="123"/>
      <c r="B97" s="5" t="s">
        <v>147</v>
      </c>
      <c r="C97" s="6" t="s">
        <v>73</v>
      </c>
      <c r="D97" s="95" t="s">
        <v>61</v>
      </c>
      <c r="E97" s="31">
        <f>E98+E99</f>
        <v>60</v>
      </c>
      <c r="F97" s="31">
        <f>F98+F99</f>
        <v>62</v>
      </c>
      <c r="G97" s="32">
        <f t="shared" si="8"/>
        <v>103.33333333333334</v>
      </c>
      <c r="H97" s="39" t="s">
        <v>81</v>
      </c>
    </row>
    <row r="98" spans="1:8">
      <c r="A98" s="123"/>
      <c r="B98" s="5"/>
      <c r="C98" s="37" t="s">
        <v>68</v>
      </c>
      <c r="D98" s="95" t="s">
        <v>61</v>
      </c>
      <c r="E98" s="31">
        <v>51</v>
      </c>
      <c r="F98" s="31">
        <v>52</v>
      </c>
      <c r="G98" s="32">
        <f t="shared" si="8"/>
        <v>101.96078431372548</v>
      </c>
      <c r="H98" s="39"/>
    </row>
    <row r="99" spans="1:8">
      <c r="A99" s="123"/>
      <c r="B99" s="5"/>
      <c r="C99" s="37" t="s">
        <v>69</v>
      </c>
      <c r="D99" s="95" t="s">
        <v>61</v>
      </c>
      <c r="E99" s="31">
        <v>9</v>
      </c>
      <c r="F99" s="31">
        <v>10</v>
      </c>
      <c r="G99" s="32">
        <f t="shared" si="8"/>
        <v>111.11111111111111</v>
      </c>
      <c r="H99" s="39"/>
    </row>
    <row r="100" spans="1:8" ht="47.25">
      <c r="A100" s="65"/>
      <c r="B100" s="5" t="s">
        <v>148</v>
      </c>
      <c r="C100" s="6" t="s">
        <v>75</v>
      </c>
      <c r="D100" s="95" t="s">
        <v>61</v>
      </c>
      <c r="E100" s="31">
        <f>E101</f>
        <v>105</v>
      </c>
      <c r="F100" s="31">
        <f>F101</f>
        <v>100</v>
      </c>
      <c r="G100" s="32">
        <f t="shared" si="8"/>
        <v>95.238095238095227</v>
      </c>
      <c r="H100" s="39"/>
    </row>
    <row r="101" spans="1:8">
      <c r="A101" s="123"/>
      <c r="B101" s="5"/>
      <c r="C101" s="37" t="s">
        <v>67</v>
      </c>
      <c r="D101" s="95" t="s">
        <v>61</v>
      </c>
      <c r="E101" s="31">
        <v>105</v>
      </c>
      <c r="F101" s="31">
        <v>100</v>
      </c>
      <c r="G101" s="32">
        <f t="shared" si="8"/>
        <v>95.238095238095227</v>
      </c>
      <c r="H101" s="39"/>
    </row>
    <row r="102" spans="1:8">
      <c r="A102" s="123"/>
      <c r="B102" s="5" t="s">
        <v>21</v>
      </c>
      <c r="C102" s="2" t="s">
        <v>31</v>
      </c>
      <c r="D102" s="95" t="s">
        <v>76</v>
      </c>
      <c r="E102" s="34">
        <f>E103</f>
        <v>60</v>
      </c>
      <c r="F102" s="34">
        <f>F103</f>
        <v>60</v>
      </c>
      <c r="G102" s="63">
        <f t="shared" si="8"/>
        <v>100</v>
      </c>
      <c r="H102" s="35"/>
    </row>
    <row r="103" spans="1:8">
      <c r="A103" s="123"/>
      <c r="B103" s="5" t="s">
        <v>149</v>
      </c>
      <c r="C103" s="6" t="s">
        <v>142</v>
      </c>
      <c r="D103" s="95" t="s">
        <v>76</v>
      </c>
      <c r="E103" s="34">
        <v>60</v>
      </c>
      <c r="F103" s="34">
        <v>60</v>
      </c>
      <c r="G103" s="32">
        <f t="shared" si="8"/>
        <v>100</v>
      </c>
      <c r="H103" s="35"/>
    </row>
    <row r="104" spans="1:8">
      <c r="A104" s="123"/>
      <c r="B104" s="72" t="s">
        <v>35</v>
      </c>
      <c r="C104" s="13" t="s">
        <v>82</v>
      </c>
      <c r="D104" s="103"/>
      <c r="E104" s="14">
        <f>E105+E108+E111+E116+E128</f>
        <v>2155</v>
      </c>
      <c r="F104" s="14">
        <f>F105+F108+F111+F116+F128</f>
        <v>2060</v>
      </c>
      <c r="G104" s="69">
        <f t="shared" si="8"/>
        <v>95.591647331786547</v>
      </c>
      <c r="H104" s="55"/>
    </row>
    <row r="105" spans="1:8" ht="31.5">
      <c r="A105" s="123"/>
      <c r="B105" s="1" t="s">
        <v>4</v>
      </c>
      <c r="C105" s="2" t="s">
        <v>125</v>
      </c>
      <c r="D105" s="96" t="s">
        <v>61</v>
      </c>
      <c r="E105" s="61">
        <f>SUM(E106:E107)</f>
        <v>423</v>
      </c>
      <c r="F105" s="61">
        <f>SUM(F106:F107)</f>
        <v>421</v>
      </c>
      <c r="G105" s="51">
        <f t="shared" si="8"/>
        <v>99.527186761229316</v>
      </c>
      <c r="H105" s="62"/>
    </row>
    <row r="106" spans="1:8" ht="47.25">
      <c r="A106" s="123"/>
      <c r="B106" s="5" t="s">
        <v>26</v>
      </c>
      <c r="C106" s="6" t="s">
        <v>126</v>
      </c>
      <c r="D106" s="95" t="s">
        <v>61</v>
      </c>
      <c r="E106" s="31">
        <v>18</v>
      </c>
      <c r="F106" s="31">
        <v>18</v>
      </c>
      <c r="G106" s="32">
        <f t="shared" si="8"/>
        <v>100</v>
      </c>
      <c r="H106" s="33"/>
    </row>
    <row r="107" spans="1:8">
      <c r="A107" s="123"/>
      <c r="B107" s="5" t="s">
        <v>27</v>
      </c>
      <c r="C107" s="6" t="s">
        <v>128</v>
      </c>
      <c r="D107" s="95" t="s">
        <v>61</v>
      </c>
      <c r="E107" s="31">
        <v>405</v>
      </c>
      <c r="F107" s="31">
        <v>403</v>
      </c>
      <c r="G107" s="32">
        <f>F107/E107*100</f>
        <v>99.506172839506164</v>
      </c>
      <c r="H107" s="35"/>
    </row>
    <row r="108" spans="1:8" ht="31.5">
      <c r="A108" s="123"/>
      <c r="B108" s="1" t="s">
        <v>6</v>
      </c>
      <c r="C108" s="2" t="s">
        <v>130</v>
      </c>
      <c r="D108" s="95" t="s">
        <v>61</v>
      </c>
      <c r="E108" s="34">
        <f>SUM(E109:E110)</f>
        <v>491</v>
      </c>
      <c r="F108" s="34">
        <f>SUM(F109:F110)</f>
        <v>494</v>
      </c>
      <c r="G108" s="32">
        <f t="shared" ref="G108" si="9">F108/E108*100</f>
        <v>100.61099796334013</v>
      </c>
      <c r="H108" s="33"/>
    </row>
    <row r="109" spans="1:8" ht="47.25">
      <c r="A109" s="123"/>
      <c r="B109" s="5" t="s">
        <v>7</v>
      </c>
      <c r="C109" s="6" t="s">
        <v>131</v>
      </c>
      <c r="D109" s="95" t="s">
        <v>61</v>
      </c>
      <c r="E109" s="31">
        <v>31</v>
      </c>
      <c r="F109" s="31">
        <v>31</v>
      </c>
      <c r="G109" s="32">
        <f>F109/E109*100</f>
        <v>100</v>
      </c>
      <c r="H109" s="36"/>
    </row>
    <row r="110" spans="1:8">
      <c r="A110" s="123"/>
      <c r="B110" s="5" t="s">
        <v>12</v>
      </c>
      <c r="C110" s="6" t="s">
        <v>134</v>
      </c>
      <c r="D110" s="95" t="s">
        <v>61</v>
      </c>
      <c r="E110" s="31">
        <v>460</v>
      </c>
      <c r="F110" s="31">
        <v>463</v>
      </c>
      <c r="G110" s="32">
        <f t="shared" ref="G110:G112" si="10">F110/E110*100</f>
        <v>100.65217391304348</v>
      </c>
      <c r="H110" s="33"/>
    </row>
    <row r="111" spans="1:8" ht="31.5">
      <c r="A111" s="123"/>
      <c r="B111" s="1" t="s">
        <v>8</v>
      </c>
      <c r="C111" s="2" t="s">
        <v>136</v>
      </c>
      <c r="D111" s="95" t="s">
        <v>61</v>
      </c>
      <c r="E111" s="34">
        <f>SUM(E112:E115)</f>
        <v>100</v>
      </c>
      <c r="F111" s="34">
        <f>SUM(F112:F115)</f>
        <v>101</v>
      </c>
      <c r="G111" s="63">
        <f t="shared" si="10"/>
        <v>101</v>
      </c>
      <c r="H111" s="35"/>
    </row>
    <row r="112" spans="1:8" ht="63">
      <c r="A112" s="123"/>
      <c r="B112" s="5" t="s">
        <v>62</v>
      </c>
      <c r="C112" s="6" t="s">
        <v>138</v>
      </c>
      <c r="D112" s="95" t="s">
        <v>61</v>
      </c>
      <c r="E112" s="31">
        <v>1</v>
      </c>
      <c r="F112" s="31">
        <v>1</v>
      </c>
      <c r="G112" s="32">
        <f t="shared" si="10"/>
        <v>100</v>
      </c>
      <c r="H112" s="35"/>
    </row>
    <row r="113" spans="1:9" ht="47.25">
      <c r="A113" s="123"/>
      <c r="B113" s="5" t="s">
        <v>144</v>
      </c>
      <c r="C113" s="6" t="s">
        <v>139</v>
      </c>
      <c r="D113" s="95" t="s">
        <v>61</v>
      </c>
      <c r="E113" s="31">
        <v>90</v>
      </c>
      <c r="F113" s="31">
        <v>96</v>
      </c>
      <c r="G113" s="32">
        <f>F113/E113*100</f>
        <v>106.66666666666667</v>
      </c>
      <c r="H113" s="35"/>
    </row>
    <row r="114" spans="1:9" ht="63">
      <c r="A114" s="123"/>
      <c r="B114" s="5" t="s">
        <v>63</v>
      </c>
      <c r="C114" s="6" t="s">
        <v>140</v>
      </c>
      <c r="D114" s="95" t="s">
        <v>61</v>
      </c>
      <c r="E114" s="31">
        <v>1</v>
      </c>
      <c r="F114" s="31">
        <v>1</v>
      </c>
      <c r="G114" s="32">
        <f t="shared" ref="G114:G166" si="11">F114/E114*100</f>
        <v>100</v>
      </c>
      <c r="H114" s="35"/>
    </row>
    <row r="115" spans="1:9">
      <c r="A115" s="123"/>
      <c r="B115" s="5"/>
      <c r="C115" s="6" t="s">
        <v>141</v>
      </c>
      <c r="D115" s="95" t="s">
        <v>61</v>
      </c>
      <c r="E115" s="31">
        <v>8</v>
      </c>
      <c r="F115" s="31">
        <v>3</v>
      </c>
      <c r="G115" s="32">
        <f t="shared" si="11"/>
        <v>37.5</v>
      </c>
      <c r="H115" s="35"/>
    </row>
    <row r="116" spans="1:9">
      <c r="A116" s="123"/>
      <c r="B116" s="5" t="s">
        <v>18</v>
      </c>
      <c r="C116" s="2" t="s">
        <v>64</v>
      </c>
      <c r="D116" s="95" t="s">
        <v>61</v>
      </c>
      <c r="E116" s="34">
        <f>E117+E121+E123+E126</f>
        <v>836</v>
      </c>
      <c r="F116" s="34">
        <f>F117+F121+F123+F126</f>
        <v>829</v>
      </c>
      <c r="G116" s="32">
        <f t="shared" si="11"/>
        <v>99.162679425837325</v>
      </c>
      <c r="H116" s="35"/>
      <c r="I116" s="66"/>
    </row>
    <row r="117" spans="1:9" ht="31.5">
      <c r="A117" s="123"/>
      <c r="B117" s="5" t="s">
        <v>65</v>
      </c>
      <c r="C117" s="6" t="s">
        <v>66</v>
      </c>
      <c r="D117" s="95" t="s">
        <v>61</v>
      </c>
      <c r="E117" s="31">
        <f>E118+E119+E120</f>
        <v>367</v>
      </c>
      <c r="F117" s="41">
        <f>F118+F119+F120</f>
        <v>366</v>
      </c>
      <c r="G117" s="32">
        <f t="shared" si="11"/>
        <v>99.727520435967293</v>
      </c>
      <c r="H117" s="35"/>
      <c r="I117" s="66"/>
    </row>
    <row r="118" spans="1:9">
      <c r="A118" s="123"/>
      <c r="B118" s="5"/>
      <c r="C118" s="37" t="s">
        <v>67</v>
      </c>
      <c r="D118" s="95" t="s">
        <v>61</v>
      </c>
      <c r="E118" s="31">
        <v>150</v>
      </c>
      <c r="F118" s="31">
        <v>149</v>
      </c>
      <c r="G118" s="32">
        <f t="shared" si="11"/>
        <v>99.333333333333329</v>
      </c>
      <c r="H118" s="39"/>
      <c r="I118" s="66"/>
    </row>
    <row r="119" spans="1:9">
      <c r="A119" s="123"/>
      <c r="B119" s="5"/>
      <c r="C119" s="37" t="s">
        <v>68</v>
      </c>
      <c r="D119" s="95" t="s">
        <v>61</v>
      </c>
      <c r="E119" s="31">
        <v>183</v>
      </c>
      <c r="F119" s="31">
        <v>183</v>
      </c>
      <c r="G119" s="32">
        <f t="shared" si="11"/>
        <v>100</v>
      </c>
      <c r="H119" s="39"/>
      <c r="I119" s="66"/>
    </row>
    <row r="120" spans="1:9">
      <c r="A120" s="123"/>
      <c r="B120" s="5"/>
      <c r="C120" s="37" t="s">
        <v>69</v>
      </c>
      <c r="D120" s="95" t="s">
        <v>61</v>
      </c>
      <c r="E120" s="31">
        <v>34</v>
      </c>
      <c r="F120" s="31">
        <v>34</v>
      </c>
      <c r="G120" s="32">
        <f t="shared" si="11"/>
        <v>100</v>
      </c>
      <c r="H120" s="39"/>
      <c r="I120" s="64"/>
    </row>
    <row r="121" spans="1:9" ht="31.5">
      <c r="A121" s="123"/>
      <c r="B121" s="5" t="s">
        <v>70</v>
      </c>
      <c r="C121" s="6" t="s">
        <v>71</v>
      </c>
      <c r="D121" s="95" t="s">
        <v>61</v>
      </c>
      <c r="E121" s="31">
        <f>E122</f>
        <v>1</v>
      </c>
      <c r="F121" s="31">
        <f>F122</f>
        <v>1</v>
      </c>
      <c r="G121" s="32">
        <f t="shared" si="11"/>
        <v>100</v>
      </c>
      <c r="H121" s="39"/>
    </row>
    <row r="122" spans="1:9">
      <c r="A122" s="123"/>
      <c r="B122" s="5"/>
      <c r="C122" s="37" t="s">
        <v>69</v>
      </c>
      <c r="D122" s="95" t="s">
        <v>61</v>
      </c>
      <c r="E122" s="31">
        <v>1</v>
      </c>
      <c r="F122" s="31">
        <v>1</v>
      </c>
      <c r="G122" s="32">
        <f t="shared" si="11"/>
        <v>100</v>
      </c>
      <c r="H122" s="39"/>
    </row>
    <row r="123" spans="1:9" ht="63">
      <c r="A123" s="123"/>
      <c r="B123" s="5" t="s">
        <v>72</v>
      </c>
      <c r="C123" s="6" t="s">
        <v>73</v>
      </c>
      <c r="D123" s="95" t="s">
        <v>61</v>
      </c>
      <c r="E123" s="31">
        <f>E124+E125</f>
        <v>195</v>
      </c>
      <c r="F123" s="31">
        <f>F124+F125</f>
        <v>190</v>
      </c>
      <c r="G123" s="32">
        <f t="shared" si="11"/>
        <v>97.435897435897431</v>
      </c>
      <c r="H123" s="39" t="s">
        <v>81</v>
      </c>
    </row>
    <row r="124" spans="1:9">
      <c r="A124" s="123"/>
      <c r="B124" s="5"/>
      <c r="C124" s="37" t="s">
        <v>68</v>
      </c>
      <c r="D124" s="95" t="s">
        <v>61</v>
      </c>
      <c r="E124" s="31">
        <v>184</v>
      </c>
      <c r="F124" s="31">
        <v>178</v>
      </c>
      <c r="G124" s="32">
        <f t="shared" si="11"/>
        <v>96.739130434782609</v>
      </c>
      <c r="H124" s="39"/>
    </row>
    <row r="125" spans="1:9">
      <c r="A125" s="123"/>
      <c r="B125" s="5"/>
      <c r="C125" s="37" t="s">
        <v>69</v>
      </c>
      <c r="D125" s="95" t="s">
        <v>61</v>
      </c>
      <c r="E125" s="31">
        <v>11</v>
      </c>
      <c r="F125" s="31">
        <v>12</v>
      </c>
      <c r="G125" s="32">
        <f t="shared" si="11"/>
        <v>109.09090909090908</v>
      </c>
      <c r="H125" s="39"/>
    </row>
    <row r="126" spans="1:9" ht="47.25">
      <c r="A126" s="65"/>
      <c r="B126" s="5" t="s">
        <v>74</v>
      </c>
      <c r="C126" s="6" t="s">
        <v>75</v>
      </c>
      <c r="D126" s="95" t="s">
        <v>61</v>
      </c>
      <c r="E126" s="31">
        <f>E127</f>
        <v>273</v>
      </c>
      <c r="F126" s="31">
        <f>F127</f>
        <v>272</v>
      </c>
      <c r="G126" s="32">
        <f t="shared" si="11"/>
        <v>99.633699633699635</v>
      </c>
      <c r="H126" s="39"/>
    </row>
    <row r="127" spans="1:9">
      <c r="A127" s="123"/>
      <c r="B127" s="5"/>
      <c r="C127" s="37" t="s">
        <v>67</v>
      </c>
      <c r="D127" s="95" t="s">
        <v>61</v>
      </c>
      <c r="E127" s="31">
        <v>273</v>
      </c>
      <c r="F127" s="31">
        <v>272</v>
      </c>
      <c r="G127" s="32">
        <f t="shared" si="11"/>
        <v>99.633699633699635</v>
      </c>
      <c r="H127" s="39"/>
    </row>
    <row r="128" spans="1:9">
      <c r="A128" s="123"/>
      <c r="B128" s="5" t="s">
        <v>21</v>
      </c>
      <c r="C128" s="2" t="s">
        <v>31</v>
      </c>
      <c r="D128" s="95" t="s">
        <v>76</v>
      </c>
      <c r="E128" s="34">
        <f>E129</f>
        <v>305</v>
      </c>
      <c r="F128" s="34">
        <f>F129</f>
        <v>215</v>
      </c>
      <c r="G128" s="32">
        <f t="shared" si="11"/>
        <v>70.491803278688522</v>
      </c>
      <c r="H128" s="35"/>
    </row>
    <row r="129" spans="1:8">
      <c r="A129" s="123"/>
      <c r="B129" s="5" t="s">
        <v>77</v>
      </c>
      <c r="C129" s="6" t="s">
        <v>142</v>
      </c>
      <c r="D129" s="95" t="s">
        <v>76</v>
      </c>
      <c r="E129" s="34">
        <v>305</v>
      </c>
      <c r="F129" s="34">
        <v>215</v>
      </c>
      <c r="G129" s="32">
        <f t="shared" si="11"/>
        <v>70.491803278688522</v>
      </c>
      <c r="H129" s="35"/>
    </row>
    <row r="130" spans="1:8">
      <c r="A130" s="123"/>
      <c r="B130" s="72" t="s">
        <v>57</v>
      </c>
      <c r="C130" s="13" t="s">
        <v>83</v>
      </c>
      <c r="D130" s="103"/>
      <c r="E130" s="14">
        <f>E131+E136+E140+E144+E160+E162</f>
        <v>7027</v>
      </c>
      <c r="F130" s="14">
        <f>F131+F136+F140+F144+F160+F162</f>
        <v>4926</v>
      </c>
      <c r="G130" s="69">
        <f t="shared" si="11"/>
        <v>70.101038850149422</v>
      </c>
      <c r="H130" s="55"/>
    </row>
    <row r="131" spans="1:8" ht="31.5">
      <c r="A131" s="123"/>
      <c r="B131" s="1" t="s">
        <v>4</v>
      </c>
      <c r="C131" s="2" t="s">
        <v>125</v>
      </c>
      <c r="D131" s="96" t="s">
        <v>61</v>
      </c>
      <c r="E131" s="61">
        <f>SUM(E132:E135)</f>
        <v>363</v>
      </c>
      <c r="F131" s="61">
        <f>SUM(F132:F135)</f>
        <v>358</v>
      </c>
      <c r="G131" s="51">
        <f t="shared" si="11"/>
        <v>98.622589531680433</v>
      </c>
      <c r="H131" s="62"/>
    </row>
    <row r="132" spans="1:8" ht="47.25">
      <c r="A132" s="123"/>
      <c r="B132" s="5" t="s">
        <v>26</v>
      </c>
      <c r="C132" s="6" t="s">
        <v>126</v>
      </c>
      <c r="D132" s="95" t="s">
        <v>61</v>
      </c>
      <c r="E132" s="31">
        <v>35</v>
      </c>
      <c r="F132" s="31">
        <v>34</v>
      </c>
      <c r="G132" s="32">
        <f t="shared" si="11"/>
        <v>97.142857142857139</v>
      </c>
      <c r="H132" s="33"/>
    </row>
    <row r="133" spans="1:8" ht="63">
      <c r="A133" s="123"/>
      <c r="B133" s="5" t="s">
        <v>27</v>
      </c>
      <c r="C133" s="6" t="s">
        <v>127</v>
      </c>
      <c r="D133" s="95" t="s">
        <v>61</v>
      </c>
      <c r="E133" s="34">
        <v>1</v>
      </c>
      <c r="F133" s="34">
        <v>1</v>
      </c>
      <c r="G133" s="32">
        <f t="shared" si="11"/>
        <v>100</v>
      </c>
      <c r="H133" s="33"/>
    </row>
    <row r="134" spans="1:8">
      <c r="A134" s="123"/>
      <c r="B134" s="5" t="s">
        <v>28</v>
      </c>
      <c r="C134" s="6" t="s">
        <v>128</v>
      </c>
      <c r="D134" s="95" t="s">
        <v>61</v>
      </c>
      <c r="E134" s="31">
        <v>326</v>
      </c>
      <c r="F134" s="31">
        <v>322</v>
      </c>
      <c r="G134" s="32">
        <f>F134/E134*100</f>
        <v>98.773006134969322</v>
      </c>
      <c r="H134" s="35"/>
    </row>
    <row r="135" spans="1:8">
      <c r="A135" s="123"/>
      <c r="B135" s="5" t="s">
        <v>29</v>
      </c>
      <c r="C135" s="6" t="s">
        <v>129</v>
      </c>
      <c r="D135" s="95" t="s">
        <v>61</v>
      </c>
      <c r="E135" s="31">
        <v>1</v>
      </c>
      <c r="F135" s="31">
        <v>1</v>
      </c>
      <c r="G135" s="32">
        <f t="shared" ref="G135:G136" si="12">F135/E135*100</f>
        <v>100</v>
      </c>
      <c r="H135" s="33"/>
    </row>
    <row r="136" spans="1:8" ht="31.5">
      <c r="A136" s="123"/>
      <c r="B136" s="1" t="s">
        <v>6</v>
      </c>
      <c r="C136" s="2" t="s">
        <v>130</v>
      </c>
      <c r="D136" s="95" t="s">
        <v>61</v>
      </c>
      <c r="E136" s="34">
        <f>SUM(E137:E139)</f>
        <v>433</v>
      </c>
      <c r="F136" s="34">
        <f>SUM(F137:F139)</f>
        <v>436</v>
      </c>
      <c r="G136" s="32">
        <f t="shared" si="12"/>
        <v>100.69284064665128</v>
      </c>
      <c r="H136" s="33"/>
    </row>
    <row r="137" spans="1:8" ht="47.25">
      <c r="A137" s="123"/>
      <c r="B137" s="5" t="s">
        <v>7</v>
      </c>
      <c r="C137" s="6" t="s">
        <v>131</v>
      </c>
      <c r="D137" s="95" t="s">
        <v>61</v>
      </c>
      <c r="E137" s="31">
        <v>38</v>
      </c>
      <c r="F137" s="31">
        <v>38</v>
      </c>
      <c r="G137" s="32">
        <f>F137/E137*100</f>
        <v>100</v>
      </c>
      <c r="H137" s="36"/>
    </row>
    <row r="138" spans="1:8">
      <c r="A138" s="123"/>
      <c r="B138" s="5" t="s">
        <v>12</v>
      </c>
      <c r="C138" s="6" t="s">
        <v>134</v>
      </c>
      <c r="D138" s="95" t="s">
        <v>61</v>
      </c>
      <c r="E138" s="31">
        <v>393</v>
      </c>
      <c r="F138" s="31">
        <v>396</v>
      </c>
      <c r="G138" s="32">
        <f t="shared" ref="G138:G140" si="13">F138/E138*100</f>
        <v>100.76335877862594</v>
      </c>
      <c r="H138" s="33"/>
    </row>
    <row r="139" spans="1:8" ht="31.5">
      <c r="A139" s="123"/>
      <c r="B139" s="5" t="s">
        <v>14</v>
      </c>
      <c r="C139" s="6" t="s">
        <v>135</v>
      </c>
      <c r="D139" s="95" t="s">
        <v>61</v>
      </c>
      <c r="E139" s="31">
        <v>2</v>
      </c>
      <c r="F139" s="31">
        <v>2</v>
      </c>
      <c r="G139" s="32">
        <f t="shared" si="13"/>
        <v>100</v>
      </c>
      <c r="H139" s="35"/>
    </row>
    <row r="140" spans="1:8" ht="31.5">
      <c r="A140" s="123"/>
      <c r="B140" s="1" t="s">
        <v>8</v>
      </c>
      <c r="C140" s="2" t="s">
        <v>136</v>
      </c>
      <c r="D140" s="95" t="s">
        <v>61</v>
      </c>
      <c r="E140" s="34">
        <f>SUM(E141:E143)</f>
        <v>56</v>
      </c>
      <c r="F140" s="34">
        <f>SUM(F141:F143)</f>
        <v>55</v>
      </c>
      <c r="G140" s="63">
        <f t="shared" si="13"/>
        <v>98.214285714285708</v>
      </c>
      <c r="H140" s="35"/>
    </row>
    <row r="141" spans="1:8" ht="47.25">
      <c r="A141" s="123"/>
      <c r="B141" s="5" t="s">
        <v>62</v>
      </c>
      <c r="C141" s="6" t="s">
        <v>131</v>
      </c>
      <c r="D141" s="95" t="s">
        <v>61</v>
      </c>
      <c r="E141" s="31">
        <v>1</v>
      </c>
      <c r="F141" s="124"/>
      <c r="G141" s="32">
        <f>F141/E141*100</f>
        <v>0</v>
      </c>
      <c r="H141" s="36"/>
    </row>
    <row r="142" spans="1:8" ht="47.25">
      <c r="A142" s="123"/>
      <c r="B142" s="5" t="s">
        <v>144</v>
      </c>
      <c r="C142" s="6" t="s">
        <v>139</v>
      </c>
      <c r="D142" s="95" t="s">
        <v>61</v>
      </c>
      <c r="E142" s="31">
        <v>41</v>
      </c>
      <c r="F142" s="31">
        <v>41</v>
      </c>
      <c r="G142" s="32">
        <f>F142/E142*100</f>
        <v>100</v>
      </c>
      <c r="H142" s="35"/>
    </row>
    <row r="143" spans="1:8">
      <c r="A143" s="123"/>
      <c r="B143" s="5" t="s">
        <v>63</v>
      </c>
      <c r="C143" s="6" t="s">
        <v>141</v>
      </c>
      <c r="D143" s="95" t="s">
        <v>61</v>
      </c>
      <c r="E143" s="31">
        <v>14</v>
      </c>
      <c r="F143" s="31">
        <v>14</v>
      </c>
      <c r="G143" s="32">
        <f t="shared" ref="G143" si="14">F143/E143*100</f>
        <v>100</v>
      </c>
      <c r="H143" s="35"/>
    </row>
    <row r="144" spans="1:8">
      <c r="A144" s="123"/>
      <c r="B144" s="5" t="s">
        <v>18</v>
      </c>
      <c r="C144" s="2" t="s">
        <v>64</v>
      </c>
      <c r="D144" s="95" t="s">
        <v>61</v>
      </c>
      <c r="E144" s="34">
        <f>E145+E149+E152+E155+E157</f>
        <v>752</v>
      </c>
      <c r="F144" s="34">
        <f>F145+F149+F152+F155+F157</f>
        <v>750</v>
      </c>
      <c r="G144" s="32">
        <f t="shared" si="11"/>
        <v>99.7340425531915</v>
      </c>
      <c r="H144" s="35"/>
    </row>
    <row r="145" spans="1:9" ht="31.5">
      <c r="A145" s="123"/>
      <c r="B145" s="5" t="s">
        <v>145</v>
      </c>
      <c r="C145" s="6" t="s">
        <v>66</v>
      </c>
      <c r="D145" s="95" t="s">
        <v>61</v>
      </c>
      <c r="E145" s="31">
        <f>E146+E147+E148</f>
        <v>307</v>
      </c>
      <c r="F145" s="41">
        <f>F146+F147+F148</f>
        <v>309</v>
      </c>
      <c r="G145" s="32">
        <f t="shared" si="11"/>
        <v>100.65146579804561</v>
      </c>
      <c r="H145" s="35"/>
      <c r="I145" s="64"/>
    </row>
    <row r="146" spans="1:9">
      <c r="A146" s="123"/>
      <c r="B146" s="5"/>
      <c r="C146" s="37" t="s">
        <v>67</v>
      </c>
      <c r="D146" s="95" t="s">
        <v>61</v>
      </c>
      <c r="E146" s="31">
        <v>137</v>
      </c>
      <c r="F146" s="31">
        <v>137</v>
      </c>
      <c r="G146" s="32">
        <f t="shared" si="11"/>
        <v>100</v>
      </c>
      <c r="H146" s="39"/>
      <c r="I146" s="64"/>
    </row>
    <row r="147" spans="1:9">
      <c r="A147" s="123"/>
      <c r="B147" s="5"/>
      <c r="C147" s="37" t="s">
        <v>68</v>
      </c>
      <c r="D147" s="95" t="s">
        <v>61</v>
      </c>
      <c r="E147" s="31">
        <v>156</v>
      </c>
      <c r="F147" s="31">
        <v>158</v>
      </c>
      <c r="G147" s="32">
        <f t="shared" si="11"/>
        <v>101.28205128205127</v>
      </c>
      <c r="H147" s="39"/>
      <c r="I147" s="64"/>
    </row>
    <row r="148" spans="1:9">
      <c r="A148" s="123"/>
      <c r="B148" s="5"/>
      <c r="C148" s="37" t="s">
        <v>69</v>
      </c>
      <c r="D148" s="95" t="s">
        <v>61</v>
      </c>
      <c r="E148" s="31">
        <v>14</v>
      </c>
      <c r="F148" s="31">
        <v>14</v>
      </c>
      <c r="G148" s="32">
        <f t="shared" si="11"/>
        <v>100</v>
      </c>
      <c r="H148" s="39"/>
      <c r="I148" s="64"/>
    </row>
    <row r="149" spans="1:9" ht="31.5">
      <c r="A149" s="123"/>
      <c r="B149" s="5" t="s">
        <v>146</v>
      </c>
      <c r="C149" s="6" t="s">
        <v>71</v>
      </c>
      <c r="D149" s="95" t="s">
        <v>61</v>
      </c>
      <c r="E149" s="31">
        <f>E150+E151</f>
        <v>2</v>
      </c>
      <c r="F149" s="31">
        <f>F150+F151</f>
        <v>2</v>
      </c>
      <c r="G149" s="32">
        <f t="shared" si="11"/>
        <v>100</v>
      </c>
      <c r="H149" s="39"/>
    </row>
    <row r="150" spans="1:9">
      <c r="A150" s="123"/>
      <c r="B150" s="5"/>
      <c r="C150" s="37" t="s">
        <v>67</v>
      </c>
      <c r="D150" s="95" t="s">
        <v>61</v>
      </c>
      <c r="E150" s="31">
        <v>1</v>
      </c>
      <c r="F150" s="31">
        <v>1</v>
      </c>
      <c r="G150" s="32"/>
      <c r="H150" s="39"/>
    </row>
    <row r="151" spans="1:9">
      <c r="A151" s="123"/>
      <c r="B151" s="5"/>
      <c r="C151" s="37" t="s">
        <v>68</v>
      </c>
      <c r="D151" s="95" t="s">
        <v>61</v>
      </c>
      <c r="E151" s="31">
        <v>1</v>
      </c>
      <c r="F151" s="31">
        <v>1</v>
      </c>
      <c r="G151" s="32">
        <f t="shared" si="11"/>
        <v>100</v>
      </c>
      <c r="H151" s="39"/>
    </row>
    <row r="152" spans="1:9" ht="63">
      <c r="A152" s="123"/>
      <c r="B152" s="5" t="s">
        <v>147</v>
      </c>
      <c r="C152" s="6" t="s">
        <v>73</v>
      </c>
      <c r="D152" s="95" t="s">
        <v>61</v>
      </c>
      <c r="E152" s="31">
        <f>E153+E154</f>
        <v>157</v>
      </c>
      <c r="F152" s="31">
        <f>F153+F154</f>
        <v>156</v>
      </c>
      <c r="G152" s="32">
        <f t="shared" si="11"/>
        <v>99.363057324840767</v>
      </c>
      <c r="H152" s="39" t="s">
        <v>81</v>
      </c>
    </row>
    <row r="153" spans="1:9">
      <c r="A153" s="123"/>
      <c r="B153" s="5"/>
      <c r="C153" s="37" t="s">
        <v>68</v>
      </c>
      <c r="D153" s="95" t="s">
        <v>61</v>
      </c>
      <c r="E153" s="31">
        <v>140</v>
      </c>
      <c r="F153" s="31">
        <v>137</v>
      </c>
      <c r="G153" s="32">
        <f t="shared" si="11"/>
        <v>97.857142857142847</v>
      </c>
      <c r="H153" s="39"/>
    </row>
    <row r="154" spans="1:9">
      <c r="A154" s="123"/>
      <c r="B154" s="5"/>
      <c r="C154" s="37" t="s">
        <v>69</v>
      </c>
      <c r="D154" s="95" t="s">
        <v>61</v>
      </c>
      <c r="E154" s="31">
        <v>17</v>
      </c>
      <c r="F154" s="31">
        <v>19</v>
      </c>
      <c r="G154" s="32">
        <f t="shared" si="11"/>
        <v>111.76470588235294</v>
      </c>
      <c r="H154" s="39"/>
    </row>
    <row r="155" spans="1:9" ht="47.25">
      <c r="A155" s="65"/>
      <c r="B155" s="5" t="s">
        <v>148</v>
      </c>
      <c r="C155" s="6" t="s">
        <v>75</v>
      </c>
      <c r="D155" s="95" t="s">
        <v>61</v>
      </c>
      <c r="E155" s="31">
        <f>E156</f>
        <v>225</v>
      </c>
      <c r="F155" s="31">
        <f>F156</f>
        <v>220</v>
      </c>
      <c r="G155" s="32">
        <f t="shared" si="11"/>
        <v>97.777777777777771</v>
      </c>
      <c r="H155" s="39"/>
    </row>
    <row r="156" spans="1:9">
      <c r="A156" s="123"/>
      <c r="B156" s="5"/>
      <c r="C156" s="37" t="s">
        <v>67</v>
      </c>
      <c r="D156" s="95" t="s">
        <v>61</v>
      </c>
      <c r="E156" s="31">
        <v>225</v>
      </c>
      <c r="F156" s="31">
        <v>220</v>
      </c>
      <c r="G156" s="32">
        <f t="shared" si="11"/>
        <v>97.777777777777771</v>
      </c>
      <c r="H156" s="39"/>
    </row>
    <row r="157" spans="1:9" ht="47.25">
      <c r="A157" s="123"/>
      <c r="B157" s="5" t="s">
        <v>151</v>
      </c>
      <c r="C157" s="6" t="s">
        <v>84</v>
      </c>
      <c r="D157" s="95" t="s">
        <v>61</v>
      </c>
      <c r="E157" s="31">
        <f>E158+E159</f>
        <v>61</v>
      </c>
      <c r="F157" s="31">
        <f>F158+F159</f>
        <v>63</v>
      </c>
      <c r="G157" s="32">
        <f t="shared" si="11"/>
        <v>103.27868852459017</v>
      </c>
      <c r="H157" s="39"/>
    </row>
    <row r="158" spans="1:9">
      <c r="A158" s="123"/>
      <c r="B158" s="5"/>
      <c r="C158" s="37" t="s">
        <v>68</v>
      </c>
      <c r="D158" s="95" t="s">
        <v>61</v>
      </c>
      <c r="E158" s="31">
        <v>54</v>
      </c>
      <c r="F158" s="31">
        <v>56</v>
      </c>
      <c r="G158" s="32">
        <f>F158/E158*100</f>
        <v>103.7037037037037</v>
      </c>
      <c r="H158" s="39"/>
    </row>
    <row r="159" spans="1:9">
      <c r="A159" s="123"/>
      <c r="B159" s="5"/>
      <c r="C159" s="37" t="s">
        <v>69</v>
      </c>
      <c r="D159" s="95" t="s">
        <v>61</v>
      </c>
      <c r="E159" s="31">
        <v>7</v>
      </c>
      <c r="F159" s="31">
        <v>7</v>
      </c>
      <c r="G159" s="32">
        <f t="shared" si="11"/>
        <v>100</v>
      </c>
      <c r="H159" s="39"/>
    </row>
    <row r="160" spans="1:9">
      <c r="A160" s="123"/>
      <c r="B160" s="5" t="s">
        <v>21</v>
      </c>
      <c r="C160" s="2" t="s">
        <v>31</v>
      </c>
      <c r="D160" s="95" t="s">
        <v>76</v>
      </c>
      <c r="E160" s="34">
        <f>E161</f>
        <v>140</v>
      </c>
      <c r="F160" s="34">
        <f>F161</f>
        <v>140</v>
      </c>
      <c r="G160" s="32">
        <f t="shared" si="11"/>
        <v>100</v>
      </c>
      <c r="H160" s="42"/>
    </row>
    <row r="161" spans="1:8">
      <c r="A161" s="123"/>
      <c r="B161" s="5" t="s">
        <v>149</v>
      </c>
      <c r="C161" s="6" t="s">
        <v>142</v>
      </c>
      <c r="D161" s="95" t="s">
        <v>76</v>
      </c>
      <c r="E161" s="34">
        <v>140</v>
      </c>
      <c r="F161" s="34">
        <v>140</v>
      </c>
      <c r="G161" s="32">
        <f t="shared" si="11"/>
        <v>100</v>
      </c>
      <c r="H161" s="42"/>
    </row>
    <row r="162" spans="1:8">
      <c r="A162" s="123"/>
      <c r="B162" s="1" t="s">
        <v>24</v>
      </c>
      <c r="C162" s="2" t="s">
        <v>78</v>
      </c>
      <c r="D162" s="95" t="s">
        <v>5</v>
      </c>
      <c r="E162" s="34">
        <f>E163</f>
        <v>5283</v>
      </c>
      <c r="F162" s="34">
        <f>F163</f>
        <v>3187</v>
      </c>
      <c r="G162" s="32">
        <f t="shared" si="11"/>
        <v>60.325572591330676</v>
      </c>
      <c r="H162" s="35"/>
    </row>
    <row r="163" spans="1:8">
      <c r="A163" s="123"/>
      <c r="B163" s="5" t="s">
        <v>150</v>
      </c>
      <c r="C163" s="6" t="s">
        <v>79</v>
      </c>
      <c r="D163" s="95" t="s">
        <v>5</v>
      </c>
      <c r="E163" s="31">
        <v>5283</v>
      </c>
      <c r="F163" s="31">
        <v>3187</v>
      </c>
      <c r="G163" s="32">
        <f t="shared" si="11"/>
        <v>60.325572591330676</v>
      </c>
      <c r="H163" s="35"/>
    </row>
    <row r="164" spans="1:8" s="19" customFormat="1">
      <c r="A164" s="30"/>
      <c r="B164" s="72" t="s">
        <v>172</v>
      </c>
      <c r="C164" s="13" t="s">
        <v>85</v>
      </c>
      <c r="D164" s="103"/>
      <c r="E164" s="14">
        <f>E165+E169+E175+E179+E191+E178</f>
        <v>1544</v>
      </c>
      <c r="F164" s="14">
        <f>F165+F169+F175+F179+F191+F178</f>
        <v>1549</v>
      </c>
      <c r="G164" s="69">
        <f t="shared" si="11"/>
        <v>100.3238341968912</v>
      </c>
      <c r="H164" s="55"/>
    </row>
    <row r="165" spans="1:8" ht="31.5">
      <c r="A165" s="123"/>
      <c r="B165" s="1" t="s">
        <v>4</v>
      </c>
      <c r="C165" s="2" t="s">
        <v>125</v>
      </c>
      <c r="D165" s="96" t="s">
        <v>61</v>
      </c>
      <c r="E165" s="61">
        <f>SUM(E166:E168)</f>
        <v>299</v>
      </c>
      <c r="F165" s="61">
        <f>SUM(F166:F168)</f>
        <v>298</v>
      </c>
      <c r="G165" s="51">
        <f t="shared" si="11"/>
        <v>99.665551839464882</v>
      </c>
      <c r="H165" s="62"/>
    </row>
    <row r="166" spans="1:8" ht="47.25">
      <c r="A166" s="123"/>
      <c r="B166" s="5" t="s">
        <v>26</v>
      </c>
      <c r="C166" s="6" t="s">
        <v>126</v>
      </c>
      <c r="D166" s="95" t="s">
        <v>61</v>
      </c>
      <c r="E166" s="31">
        <v>7</v>
      </c>
      <c r="F166" s="31">
        <v>6</v>
      </c>
      <c r="G166" s="32">
        <f t="shared" si="11"/>
        <v>85.714285714285708</v>
      </c>
      <c r="H166" s="33"/>
    </row>
    <row r="167" spans="1:8" ht="63">
      <c r="A167" s="123"/>
      <c r="B167" s="5" t="s">
        <v>27</v>
      </c>
      <c r="C167" s="6" t="s">
        <v>127</v>
      </c>
      <c r="D167" s="95" t="s">
        <v>61</v>
      </c>
      <c r="E167" s="34">
        <v>1</v>
      </c>
      <c r="F167" s="34"/>
      <c r="G167" s="32">
        <f t="shared" ref="G167" si="15">F167/E167*100</f>
        <v>0</v>
      </c>
      <c r="H167" s="33"/>
    </row>
    <row r="168" spans="1:8">
      <c r="A168" s="123"/>
      <c r="B168" s="5" t="s">
        <v>28</v>
      </c>
      <c r="C168" s="6" t="s">
        <v>128</v>
      </c>
      <c r="D168" s="95" t="s">
        <v>61</v>
      </c>
      <c r="E168" s="31">
        <v>291</v>
      </c>
      <c r="F168" s="31">
        <v>292</v>
      </c>
      <c r="G168" s="32">
        <f>F168/E168*100</f>
        <v>100.34364261168385</v>
      </c>
      <c r="H168" s="35"/>
    </row>
    <row r="169" spans="1:8" ht="31.5">
      <c r="A169" s="123"/>
      <c r="B169" s="1" t="s">
        <v>6</v>
      </c>
      <c r="C169" s="2" t="s">
        <v>130</v>
      </c>
      <c r="D169" s="95" t="s">
        <v>61</v>
      </c>
      <c r="E169" s="34">
        <f>SUM(E170:E174)</f>
        <v>398</v>
      </c>
      <c r="F169" s="34">
        <f>SUM(F170:F174)</f>
        <v>403</v>
      </c>
      <c r="G169" s="32">
        <f t="shared" ref="G169" si="16">F169/E169*100</f>
        <v>101.25628140703517</v>
      </c>
      <c r="H169" s="33"/>
    </row>
    <row r="170" spans="1:8" ht="47.25">
      <c r="A170" s="123"/>
      <c r="B170" s="5" t="s">
        <v>7</v>
      </c>
      <c r="C170" s="6" t="s">
        <v>131</v>
      </c>
      <c r="D170" s="95" t="s">
        <v>61</v>
      </c>
      <c r="E170" s="31">
        <v>15</v>
      </c>
      <c r="F170" s="31">
        <v>15</v>
      </c>
      <c r="G170" s="32">
        <f>F170/E170*100</f>
        <v>100</v>
      </c>
      <c r="H170" s="36"/>
    </row>
    <row r="171" spans="1:8" ht="63">
      <c r="A171" s="123"/>
      <c r="B171" s="5" t="s">
        <v>12</v>
      </c>
      <c r="C171" s="6" t="s">
        <v>132</v>
      </c>
      <c r="D171" s="95" t="s">
        <v>61</v>
      </c>
      <c r="E171" s="31">
        <v>1</v>
      </c>
      <c r="F171" s="31">
        <v>1</v>
      </c>
      <c r="G171" s="32">
        <f t="shared" ref="G171" si="17">F171/E171*100</f>
        <v>100</v>
      </c>
      <c r="H171" s="36"/>
    </row>
    <row r="172" spans="1:8" ht="47.25">
      <c r="A172" s="123"/>
      <c r="B172" s="5" t="s">
        <v>14</v>
      </c>
      <c r="C172" s="6" t="s">
        <v>133</v>
      </c>
      <c r="D172" s="95" t="s">
        <v>61</v>
      </c>
      <c r="E172" s="31">
        <v>150</v>
      </c>
      <c r="F172" s="31">
        <v>156</v>
      </c>
      <c r="G172" s="32">
        <f>F172/E172*100</f>
        <v>104</v>
      </c>
      <c r="H172" s="36"/>
    </row>
    <row r="173" spans="1:8">
      <c r="A173" s="123"/>
      <c r="B173" s="5" t="s">
        <v>16</v>
      </c>
      <c r="C173" s="6" t="s">
        <v>134</v>
      </c>
      <c r="D173" s="95" t="s">
        <v>61</v>
      </c>
      <c r="E173" s="31">
        <v>231</v>
      </c>
      <c r="F173" s="31">
        <v>231</v>
      </c>
      <c r="G173" s="32">
        <f t="shared" ref="G173:G175" si="18">F173/E173*100</f>
        <v>100</v>
      </c>
      <c r="H173" s="33"/>
    </row>
    <row r="174" spans="1:8">
      <c r="A174" s="123"/>
      <c r="B174" s="5" t="s">
        <v>191</v>
      </c>
      <c r="C174" s="6" t="s">
        <v>192</v>
      </c>
      <c r="D174" s="95" t="s">
        <v>61</v>
      </c>
      <c r="E174" s="31">
        <v>1</v>
      </c>
      <c r="F174" s="31"/>
      <c r="G174" s="32">
        <f t="shared" si="18"/>
        <v>0</v>
      </c>
      <c r="H174" s="33"/>
    </row>
    <row r="175" spans="1:8" ht="31.5">
      <c r="A175" s="123"/>
      <c r="B175" s="1" t="s">
        <v>8</v>
      </c>
      <c r="C175" s="2" t="s">
        <v>136</v>
      </c>
      <c r="D175" s="95" t="s">
        <v>61</v>
      </c>
      <c r="E175" s="34">
        <f>E176+E177</f>
        <v>91</v>
      </c>
      <c r="F175" s="34">
        <f>F176+F177</f>
        <v>94</v>
      </c>
      <c r="G175" s="63">
        <f t="shared" si="18"/>
        <v>103.29670329670331</v>
      </c>
      <c r="H175" s="35"/>
    </row>
    <row r="176" spans="1:8" ht="47.25">
      <c r="A176" s="123"/>
      <c r="B176" s="5" t="s">
        <v>62</v>
      </c>
      <c r="C176" s="6" t="s">
        <v>139</v>
      </c>
      <c r="D176" s="95" t="s">
        <v>61</v>
      </c>
      <c r="E176" s="31">
        <v>49</v>
      </c>
      <c r="F176" s="31">
        <v>48</v>
      </c>
      <c r="G176" s="32">
        <f>F176/E176*100</f>
        <v>97.959183673469383</v>
      </c>
      <c r="H176" s="35"/>
    </row>
    <row r="177" spans="1:9">
      <c r="A177" s="123"/>
      <c r="B177" s="5" t="s">
        <v>144</v>
      </c>
      <c r="C177" s="6" t="s">
        <v>141</v>
      </c>
      <c r="D177" s="95" t="s">
        <v>61</v>
      </c>
      <c r="E177" s="31">
        <v>42</v>
      </c>
      <c r="F177" s="31">
        <v>46</v>
      </c>
      <c r="G177" s="32">
        <f t="shared" ref="G177:G216" si="19">F177/E177*100</f>
        <v>109.52380952380953</v>
      </c>
      <c r="H177" s="35"/>
    </row>
    <row r="178" spans="1:9" ht="63">
      <c r="A178" s="67"/>
      <c r="B178" s="1" t="s">
        <v>18</v>
      </c>
      <c r="C178" s="2" t="s">
        <v>193</v>
      </c>
      <c r="D178" s="125" t="s">
        <v>61</v>
      </c>
      <c r="E178" s="34">
        <v>1</v>
      </c>
      <c r="F178" s="34">
        <v>1</v>
      </c>
      <c r="G178" s="63">
        <f t="shared" si="19"/>
        <v>100</v>
      </c>
      <c r="H178" s="36"/>
    </row>
    <row r="179" spans="1:9">
      <c r="A179" s="123"/>
      <c r="B179" s="1" t="s">
        <v>21</v>
      </c>
      <c r="C179" s="2" t="s">
        <v>64</v>
      </c>
      <c r="D179" s="95" t="s">
        <v>61</v>
      </c>
      <c r="E179" s="34">
        <f>E180+E184+E186+E189</f>
        <v>615</v>
      </c>
      <c r="F179" s="34">
        <f>F180+F184+F186+F189</f>
        <v>613</v>
      </c>
      <c r="G179" s="32">
        <f t="shared" si="19"/>
        <v>99.674796747967477</v>
      </c>
      <c r="H179" s="35"/>
      <c r="I179" s="64"/>
    </row>
    <row r="180" spans="1:9" ht="31.5">
      <c r="A180" s="123"/>
      <c r="B180" s="5" t="s">
        <v>149</v>
      </c>
      <c r="C180" s="6" t="s">
        <v>66</v>
      </c>
      <c r="D180" s="95" t="s">
        <v>61</v>
      </c>
      <c r="E180" s="31">
        <f>E181+E182+E183</f>
        <v>223</v>
      </c>
      <c r="F180" s="31">
        <f>F181+F182+F183</f>
        <v>226</v>
      </c>
      <c r="G180" s="32">
        <f t="shared" si="19"/>
        <v>101.34529147982063</v>
      </c>
      <c r="H180" s="35"/>
      <c r="I180" s="64"/>
    </row>
    <row r="181" spans="1:9">
      <c r="A181" s="123"/>
      <c r="B181" s="5"/>
      <c r="C181" s="37" t="s">
        <v>67</v>
      </c>
      <c r="D181" s="95" t="s">
        <v>61</v>
      </c>
      <c r="E181" s="31">
        <v>96</v>
      </c>
      <c r="F181" s="31">
        <v>96</v>
      </c>
      <c r="G181" s="32">
        <f t="shared" si="19"/>
        <v>100</v>
      </c>
      <c r="H181" s="39"/>
      <c r="I181" s="64"/>
    </row>
    <row r="182" spans="1:9">
      <c r="A182" s="123"/>
      <c r="B182" s="5"/>
      <c r="C182" s="37" t="s">
        <v>68</v>
      </c>
      <c r="D182" s="95" t="s">
        <v>61</v>
      </c>
      <c r="E182" s="31">
        <v>108</v>
      </c>
      <c r="F182" s="31">
        <v>109</v>
      </c>
      <c r="G182" s="32">
        <f t="shared" si="19"/>
        <v>100.92592592592592</v>
      </c>
      <c r="H182" s="39"/>
      <c r="I182" s="64"/>
    </row>
    <row r="183" spans="1:9">
      <c r="A183" s="123"/>
      <c r="B183" s="5"/>
      <c r="C183" s="37" t="s">
        <v>69</v>
      </c>
      <c r="D183" s="95" t="s">
        <v>61</v>
      </c>
      <c r="E183" s="31">
        <v>19</v>
      </c>
      <c r="F183" s="31">
        <v>21</v>
      </c>
      <c r="G183" s="32">
        <f t="shared" si="19"/>
        <v>110.5263157894737</v>
      </c>
      <c r="H183" s="39"/>
      <c r="I183" s="64"/>
    </row>
    <row r="184" spans="1:9" ht="31.5">
      <c r="A184" s="123"/>
      <c r="B184" s="5" t="s">
        <v>194</v>
      </c>
      <c r="C184" s="6" t="s">
        <v>71</v>
      </c>
      <c r="D184" s="95" t="s">
        <v>61</v>
      </c>
      <c r="E184" s="31">
        <f>E185</f>
        <v>0</v>
      </c>
      <c r="F184" s="31">
        <f>F185</f>
        <v>1</v>
      </c>
      <c r="G184" s="32"/>
      <c r="H184" s="39"/>
    </row>
    <row r="185" spans="1:9">
      <c r="A185" s="123"/>
      <c r="B185" s="5"/>
      <c r="C185" s="37" t="s">
        <v>67</v>
      </c>
      <c r="D185" s="95" t="s">
        <v>61</v>
      </c>
      <c r="E185" s="31">
        <v>0</v>
      </c>
      <c r="F185" s="31">
        <v>1</v>
      </c>
      <c r="G185" s="32"/>
      <c r="H185" s="39"/>
    </row>
    <row r="186" spans="1:9" ht="63">
      <c r="A186" s="123"/>
      <c r="B186" s="5" t="s">
        <v>195</v>
      </c>
      <c r="C186" s="6" t="s">
        <v>73</v>
      </c>
      <c r="D186" s="95" t="s">
        <v>61</v>
      </c>
      <c r="E186" s="31">
        <f>E187+E188</f>
        <v>190</v>
      </c>
      <c r="F186" s="31">
        <f>F187+F188</f>
        <v>185</v>
      </c>
      <c r="G186" s="32">
        <f t="shared" si="19"/>
        <v>97.368421052631575</v>
      </c>
      <c r="H186" s="39" t="s">
        <v>81</v>
      </c>
    </row>
    <row r="187" spans="1:9">
      <c r="A187" s="123"/>
      <c r="B187" s="5"/>
      <c r="C187" s="37" t="s">
        <v>68</v>
      </c>
      <c r="D187" s="95" t="s">
        <v>61</v>
      </c>
      <c r="E187" s="31">
        <v>155</v>
      </c>
      <c r="F187" s="31">
        <v>148</v>
      </c>
      <c r="G187" s="32">
        <f t="shared" si="19"/>
        <v>95.483870967741936</v>
      </c>
      <c r="H187" s="39"/>
    </row>
    <row r="188" spans="1:9">
      <c r="A188" s="123"/>
      <c r="B188" s="5"/>
      <c r="C188" s="37" t="s">
        <v>69</v>
      </c>
      <c r="D188" s="95" t="s">
        <v>61</v>
      </c>
      <c r="E188" s="31">
        <v>35</v>
      </c>
      <c r="F188" s="31">
        <v>37</v>
      </c>
      <c r="G188" s="32">
        <f t="shared" si="19"/>
        <v>105.71428571428572</v>
      </c>
      <c r="H188" s="39"/>
    </row>
    <row r="189" spans="1:9" ht="47.25">
      <c r="A189" s="65"/>
      <c r="B189" s="5" t="s">
        <v>196</v>
      </c>
      <c r="C189" s="6" t="s">
        <v>75</v>
      </c>
      <c r="D189" s="95" t="s">
        <v>61</v>
      </c>
      <c r="E189" s="31">
        <f>E190</f>
        <v>202</v>
      </c>
      <c r="F189" s="31">
        <f>F190</f>
        <v>201</v>
      </c>
      <c r="G189" s="32">
        <f t="shared" si="19"/>
        <v>99.504950495049499</v>
      </c>
      <c r="H189" s="39"/>
    </row>
    <row r="190" spans="1:9">
      <c r="A190" s="123"/>
      <c r="B190" s="5"/>
      <c r="C190" s="37" t="s">
        <v>67</v>
      </c>
      <c r="D190" s="95" t="s">
        <v>61</v>
      </c>
      <c r="E190" s="31">
        <v>202</v>
      </c>
      <c r="F190" s="31">
        <v>201</v>
      </c>
      <c r="G190" s="32">
        <f t="shared" si="19"/>
        <v>99.504950495049499</v>
      </c>
      <c r="H190" s="39"/>
    </row>
    <row r="191" spans="1:9">
      <c r="A191" s="123"/>
      <c r="B191" s="5" t="s">
        <v>24</v>
      </c>
      <c r="C191" s="2" t="s">
        <v>31</v>
      </c>
      <c r="D191" s="95" t="s">
        <v>76</v>
      </c>
      <c r="E191" s="34">
        <f>E192</f>
        <v>140</v>
      </c>
      <c r="F191" s="34">
        <f>F192</f>
        <v>140</v>
      </c>
      <c r="G191" s="32">
        <f t="shared" si="19"/>
        <v>100</v>
      </c>
      <c r="H191" s="35"/>
    </row>
    <row r="192" spans="1:9">
      <c r="A192" s="123"/>
      <c r="B192" s="5" t="s">
        <v>150</v>
      </c>
      <c r="C192" s="6" t="s">
        <v>142</v>
      </c>
      <c r="D192" s="95" t="s">
        <v>76</v>
      </c>
      <c r="E192" s="34">
        <v>140</v>
      </c>
      <c r="F192" s="34">
        <v>140</v>
      </c>
      <c r="G192" s="32">
        <f t="shared" si="19"/>
        <v>100</v>
      </c>
      <c r="H192" s="35"/>
    </row>
    <row r="193" spans="1:8">
      <c r="A193" s="123"/>
      <c r="B193" s="72" t="s">
        <v>173</v>
      </c>
      <c r="C193" s="13" t="s">
        <v>87</v>
      </c>
      <c r="D193" s="103"/>
      <c r="E193" s="14">
        <f>E194+E198+E202+E206+E216</f>
        <v>2234</v>
      </c>
      <c r="F193" s="14">
        <f>F194+F198+F202+F206+F216</f>
        <v>2133</v>
      </c>
      <c r="G193" s="69">
        <f t="shared" si="19"/>
        <v>95.478961504028646</v>
      </c>
      <c r="H193" s="55"/>
    </row>
    <row r="194" spans="1:8" ht="31.5">
      <c r="A194" s="123"/>
      <c r="B194" s="1" t="s">
        <v>4</v>
      </c>
      <c r="C194" s="2" t="s">
        <v>125</v>
      </c>
      <c r="D194" s="96" t="s">
        <v>61</v>
      </c>
      <c r="E194" s="61">
        <f>SUM(E195:E197)</f>
        <v>432</v>
      </c>
      <c r="F194" s="61">
        <f>SUM(F195:F197)</f>
        <v>432</v>
      </c>
      <c r="G194" s="51">
        <f t="shared" si="19"/>
        <v>100</v>
      </c>
      <c r="H194" s="62"/>
    </row>
    <row r="195" spans="1:8" ht="47.25">
      <c r="A195" s="123"/>
      <c r="B195" s="5" t="s">
        <v>26</v>
      </c>
      <c r="C195" s="6" t="s">
        <v>126</v>
      </c>
      <c r="D195" s="95" t="s">
        <v>61</v>
      </c>
      <c r="E195" s="31">
        <v>7</v>
      </c>
      <c r="F195" s="31">
        <v>8</v>
      </c>
      <c r="G195" s="32">
        <f t="shared" si="19"/>
        <v>114.28571428571428</v>
      </c>
      <c r="H195" s="33"/>
    </row>
    <row r="196" spans="1:8">
      <c r="A196" s="123"/>
      <c r="B196" s="5" t="s">
        <v>27</v>
      </c>
      <c r="C196" s="6" t="s">
        <v>128</v>
      </c>
      <c r="D196" s="95" t="s">
        <v>61</v>
      </c>
      <c r="E196" s="31">
        <v>424</v>
      </c>
      <c r="F196" s="31">
        <v>424</v>
      </c>
      <c r="G196" s="32">
        <f>F196/E196*100</f>
        <v>100</v>
      </c>
      <c r="H196" s="35"/>
    </row>
    <row r="197" spans="1:8">
      <c r="A197" s="123"/>
      <c r="B197" s="5" t="s">
        <v>28</v>
      </c>
      <c r="C197" s="6" t="s">
        <v>197</v>
      </c>
      <c r="D197" s="95" t="s">
        <v>61</v>
      </c>
      <c r="E197" s="31">
        <v>1</v>
      </c>
      <c r="F197" s="31"/>
      <c r="G197" s="32">
        <f>F197/E197*100</f>
        <v>0</v>
      </c>
      <c r="H197" s="35"/>
    </row>
    <row r="198" spans="1:8" ht="31.5">
      <c r="A198" s="123"/>
      <c r="B198" s="1" t="s">
        <v>6</v>
      </c>
      <c r="C198" s="2" t="s">
        <v>130</v>
      </c>
      <c r="D198" s="95" t="s">
        <v>61</v>
      </c>
      <c r="E198" s="34">
        <f>SUM(E199:E201)</f>
        <v>492</v>
      </c>
      <c r="F198" s="34">
        <f>SUM(F199:F201)</f>
        <v>489</v>
      </c>
      <c r="G198" s="32">
        <f t="shared" ref="G198" si="20">F198/E198*100</f>
        <v>99.390243902439025</v>
      </c>
      <c r="H198" s="33"/>
    </row>
    <row r="199" spans="1:8" ht="47.25">
      <c r="A199" s="123"/>
      <c r="B199" s="5" t="s">
        <v>7</v>
      </c>
      <c r="C199" s="6" t="s">
        <v>131</v>
      </c>
      <c r="D199" s="95" t="s">
        <v>61</v>
      </c>
      <c r="E199" s="31">
        <v>10</v>
      </c>
      <c r="F199" s="31">
        <v>9</v>
      </c>
      <c r="G199" s="32">
        <f>F199/E199*100</f>
        <v>90</v>
      </c>
      <c r="H199" s="36"/>
    </row>
    <row r="200" spans="1:8">
      <c r="A200" s="123"/>
      <c r="B200" s="5" t="s">
        <v>12</v>
      </c>
      <c r="C200" s="6" t="s">
        <v>134</v>
      </c>
      <c r="D200" s="95" t="s">
        <v>61</v>
      </c>
      <c r="E200" s="31">
        <v>481</v>
      </c>
      <c r="F200" s="31">
        <v>479</v>
      </c>
      <c r="G200" s="32">
        <f t="shared" ref="G200:G203" si="21">F200/E200*100</f>
        <v>99.584199584199581</v>
      </c>
      <c r="H200" s="33"/>
    </row>
    <row r="201" spans="1:8" ht="31.5">
      <c r="A201" s="123"/>
      <c r="B201" s="5" t="s">
        <v>14</v>
      </c>
      <c r="C201" s="6" t="s">
        <v>135</v>
      </c>
      <c r="D201" s="95" t="s">
        <v>61</v>
      </c>
      <c r="E201" s="31">
        <v>1</v>
      </c>
      <c r="F201" s="31">
        <v>1</v>
      </c>
      <c r="G201" s="32">
        <f t="shared" si="21"/>
        <v>100</v>
      </c>
      <c r="H201" s="35"/>
    </row>
    <row r="202" spans="1:8" ht="31.5">
      <c r="A202" s="123"/>
      <c r="B202" s="1" t="s">
        <v>8</v>
      </c>
      <c r="C202" s="2" t="s">
        <v>136</v>
      </c>
      <c r="D202" s="95" t="s">
        <v>61</v>
      </c>
      <c r="E202" s="34">
        <f>SUM(E203:E205)</f>
        <v>98</v>
      </c>
      <c r="F202" s="34">
        <f>SUM(F203:F205)</f>
        <v>98</v>
      </c>
      <c r="G202" s="63">
        <f t="shared" si="21"/>
        <v>100</v>
      </c>
      <c r="H202" s="35"/>
    </row>
    <row r="203" spans="1:8" ht="47.25">
      <c r="A203" s="123"/>
      <c r="B203" s="5" t="s">
        <v>62</v>
      </c>
      <c r="C203" s="6" t="s">
        <v>137</v>
      </c>
      <c r="D203" s="95" t="s">
        <v>61</v>
      </c>
      <c r="E203" s="31"/>
      <c r="F203" s="31">
        <v>0</v>
      </c>
      <c r="G203" s="32" t="e">
        <f t="shared" si="21"/>
        <v>#DIV/0!</v>
      </c>
      <c r="H203" s="35"/>
    </row>
    <row r="204" spans="1:8" ht="47.25">
      <c r="A204" s="123"/>
      <c r="B204" s="5" t="s">
        <v>144</v>
      </c>
      <c r="C204" s="6" t="s">
        <v>139</v>
      </c>
      <c r="D204" s="95" t="s">
        <v>61</v>
      </c>
      <c r="E204" s="31">
        <v>76</v>
      </c>
      <c r="F204" s="31">
        <v>91</v>
      </c>
      <c r="G204" s="32">
        <f>F204/E204*100</f>
        <v>119.73684210526316</v>
      </c>
      <c r="H204" s="35"/>
    </row>
    <row r="205" spans="1:8">
      <c r="A205" s="123"/>
      <c r="B205" s="5" t="s">
        <v>63</v>
      </c>
      <c r="C205" s="6" t="s">
        <v>141</v>
      </c>
      <c r="D205" s="95"/>
      <c r="E205" s="31">
        <v>22</v>
      </c>
      <c r="F205" s="31">
        <v>7</v>
      </c>
      <c r="G205" s="32">
        <f>F205/E205*100</f>
        <v>31.818181818181817</v>
      </c>
      <c r="H205" s="35"/>
    </row>
    <row r="206" spans="1:8">
      <c r="A206" s="123"/>
      <c r="B206" s="5" t="s">
        <v>18</v>
      </c>
      <c r="C206" s="2" t="s">
        <v>64</v>
      </c>
      <c r="D206" s="95" t="s">
        <v>61</v>
      </c>
      <c r="E206" s="34">
        <f>E207+E211+E214</f>
        <v>892</v>
      </c>
      <c r="F206" s="34">
        <f>F207+F211+F214</f>
        <v>884</v>
      </c>
      <c r="G206" s="32">
        <f t="shared" si="19"/>
        <v>99.103139013452918</v>
      </c>
      <c r="H206" s="35"/>
    </row>
    <row r="207" spans="1:8" ht="31.5">
      <c r="A207" s="123"/>
      <c r="B207" s="5" t="s">
        <v>145</v>
      </c>
      <c r="C207" s="6" t="s">
        <v>66</v>
      </c>
      <c r="D207" s="95" t="s">
        <v>61</v>
      </c>
      <c r="E207" s="31">
        <f>E208+E209+E210</f>
        <v>294</v>
      </c>
      <c r="F207" s="41">
        <f>F208+F209+F210</f>
        <v>293</v>
      </c>
      <c r="G207" s="32">
        <f t="shared" si="19"/>
        <v>99.659863945578238</v>
      </c>
      <c r="H207" s="35"/>
    </row>
    <row r="208" spans="1:8">
      <c r="A208" s="123"/>
      <c r="B208" s="5"/>
      <c r="C208" s="37" t="s">
        <v>67</v>
      </c>
      <c r="D208" s="95" t="s">
        <v>61</v>
      </c>
      <c r="E208" s="31">
        <v>137</v>
      </c>
      <c r="F208" s="31">
        <v>138</v>
      </c>
      <c r="G208" s="32">
        <f t="shared" si="19"/>
        <v>100.72992700729928</v>
      </c>
      <c r="H208" s="39"/>
    </row>
    <row r="209" spans="1:16">
      <c r="A209" s="123"/>
      <c r="B209" s="5"/>
      <c r="C209" s="37" t="s">
        <v>68</v>
      </c>
      <c r="D209" s="95" t="s">
        <v>61</v>
      </c>
      <c r="E209" s="31">
        <v>136</v>
      </c>
      <c r="F209" s="31">
        <v>134</v>
      </c>
      <c r="G209" s="32">
        <f t="shared" si="19"/>
        <v>98.529411764705884</v>
      </c>
      <c r="H209" s="39"/>
    </row>
    <row r="210" spans="1:16">
      <c r="A210" s="123"/>
      <c r="B210" s="5"/>
      <c r="C210" s="37" t="s">
        <v>69</v>
      </c>
      <c r="D210" s="95" t="s">
        <v>61</v>
      </c>
      <c r="E210" s="31">
        <v>21</v>
      </c>
      <c r="F210" s="31">
        <v>21</v>
      </c>
      <c r="G210" s="32">
        <f t="shared" si="19"/>
        <v>100</v>
      </c>
      <c r="H210" s="39"/>
    </row>
    <row r="211" spans="1:16" ht="63">
      <c r="A211" s="123"/>
      <c r="B211" s="5" t="s">
        <v>146</v>
      </c>
      <c r="C211" s="6" t="s">
        <v>73</v>
      </c>
      <c r="D211" s="95" t="s">
        <v>61</v>
      </c>
      <c r="E211" s="31">
        <f>E212+E213</f>
        <v>303</v>
      </c>
      <c r="F211" s="31">
        <f>F212+F213</f>
        <v>297</v>
      </c>
      <c r="G211" s="32">
        <f t="shared" si="19"/>
        <v>98.019801980198025</v>
      </c>
      <c r="H211" s="39" t="s">
        <v>81</v>
      </c>
    </row>
    <row r="212" spans="1:16">
      <c r="A212" s="123"/>
      <c r="B212" s="5"/>
      <c r="C212" s="37" t="s">
        <v>68</v>
      </c>
      <c r="D212" s="95" t="s">
        <v>61</v>
      </c>
      <c r="E212" s="31">
        <v>258</v>
      </c>
      <c r="F212" s="31">
        <v>251</v>
      </c>
      <c r="G212" s="32">
        <f t="shared" si="19"/>
        <v>97.286821705426348</v>
      </c>
      <c r="H212" s="39"/>
    </row>
    <row r="213" spans="1:16">
      <c r="A213" s="123"/>
      <c r="B213" s="5"/>
      <c r="C213" s="37" t="s">
        <v>69</v>
      </c>
      <c r="D213" s="95" t="s">
        <v>61</v>
      </c>
      <c r="E213" s="31">
        <v>45</v>
      </c>
      <c r="F213" s="31">
        <v>46</v>
      </c>
      <c r="G213" s="32">
        <f t="shared" si="19"/>
        <v>102.22222222222221</v>
      </c>
      <c r="H213" s="39"/>
    </row>
    <row r="214" spans="1:16" ht="47.25">
      <c r="A214" s="65"/>
      <c r="B214" s="5" t="s">
        <v>147</v>
      </c>
      <c r="C214" s="6" t="s">
        <v>75</v>
      </c>
      <c r="D214" s="95" t="s">
        <v>61</v>
      </c>
      <c r="E214" s="31">
        <f>E215</f>
        <v>295</v>
      </c>
      <c r="F214" s="31">
        <f>F215</f>
        <v>294</v>
      </c>
      <c r="G214" s="32">
        <f t="shared" si="19"/>
        <v>99.661016949152554</v>
      </c>
      <c r="H214" s="39"/>
    </row>
    <row r="215" spans="1:16">
      <c r="A215" s="123"/>
      <c r="B215" s="5"/>
      <c r="C215" s="37" t="s">
        <v>67</v>
      </c>
      <c r="D215" s="95" t="s">
        <v>61</v>
      </c>
      <c r="E215" s="31">
        <v>295</v>
      </c>
      <c r="F215" s="31">
        <v>294</v>
      </c>
      <c r="G215" s="32">
        <f t="shared" si="19"/>
        <v>99.661016949152554</v>
      </c>
      <c r="H215" s="39"/>
    </row>
    <row r="216" spans="1:16">
      <c r="A216" s="123"/>
      <c r="B216" s="5" t="s">
        <v>21</v>
      </c>
      <c r="C216" s="2" t="s">
        <v>31</v>
      </c>
      <c r="D216" s="95" t="s">
        <v>76</v>
      </c>
      <c r="E216" s="34">
        <f>E217</f>
        <v>320</v>
      </c>
      <c r="F216" s="34">
        <f>F217</f>
        <v>230</v>
      </c>
      <c r="G216" s="32">
        <f t="shared" si="19"/>
        <v>71.875</v>
      </c>
      <c r="H216" s="35"/>
    </row>
    <row r="217" spans="1:16">
      <c r="A217" s="123"/>
      <c r="B217" s="5" t="s">
        <v>149</v>
      </c>
      <c r="C217" s="6" t="s">
        <v>142</v>
      </c>
      <c r="D217" s="95" t="s">
        <v>76</v>
      </c>
      <c r="E217" s="34">
        <v>320</v>
      </c>
      <c r="F217" s="34">
        <f>320-90</f>
        <v>230</v>
      </c>
      <c r="G217" s="32">
        <f>F217/E217*100</f>
        <v>71.875</v>
      </c>
      <c r="H217" s="35"/>
    </row>
    <row r="218" spans="1:16" s="19" customFormat="1">
      <c r="B218" s="72" t="s">
        <v>174</v>
      </c>
      <c r="C218" s="13" t="s">
        <v>88</v>
      </c>
      <c r="D218" s="104"/>
      <c r="E218" s="14">
        <f>E219+E222</f>
        <v>464</v>
      </c>
      <c r="F218" s="14">
        <f>F219+F222</f>
        <v>462</v>
      </c>
      <c r="G218" s="15">
        <f>F218/E218*100</f>
        <v>99.568965517241381</v>
      </c>
      <c r="H218" s="16"/>
      <c r="I218" s="59"/>
      <c r="J218" s="59"/>
      <c r="K218" s="59"/>
      <c r="L218" s="59"/>
      <c r="M218" s="59"/>
      <c r="N218" s="59"/>
      <c r="O218" s="59"/>
      <c r="P218" s="59"/>
    </row>
    <row r="219" spans="1:16">
      <c r="B219" s="1" t="s">
        <v>4</v>
      </c>
      <c r="C219" s="2" t="s">
        <v>89</v>
      </c>
      <c r="D219" s="95" t="s">
        <v>90</v>
      </c>
      <c r="E219" s="4">
        <f>E220+E221</f>
        <v>232</v>
      </c>
      <c r="F219" s="4">
        <f>F220+F221</f>
        <v>231</v>
      </c>
      <c r="G219" s="9">
        <f>F219/E219*100</f>
        <v>99.568965517241381</v>
      </c>
      <c r="H219" s="68"/>
      <c r="I219" s="44"/>
      <c r="J219" s="44"/>
      <c r="K219" s="44"/>
      <c r="L219" s="44"/>
      <c r="M219" s="44"/>
      <c r="N219" s="44"/>
      <c r="O219" s="44"/>
      <c r="P219" s="44"/>
    </row>
    <row r="220" spans="1:16">
      <c r="B220" s="5" t="s">
        <v>26</v>
      </c>
      <c r="C220" s="6" t="s">
        <v>91</v>
      </c>
      <c r="D220" s="95" t="s">
        <v>90</v>
      </c>
      <c r="E220" s="7">
        <v>231</v>
      </c>
      <c r="F220" s="7">
        <v>231</v>
      </c>
      <c r="G220" s="10">
        <f t="shared" ref="G220:G225" si="22">F220/E220*100</f>
        <v>100</v>
      </c>
      <c r="H220" s="35"/>
      <c r="J220" s="836"/>
    </row>
    <row r="221" spans="1:16" ht="31.5">
      <c r="B221" s="5" t="s">
        <v>27</v>
      </c>
      <c r="C221" s="6" t="s">
        <v>92</v>
      </c>
      <c r="D221" s="95" t="s">
        <v>90</v>
      </c>
      <c r="E221" s="7">
        <v>1</v>
      </c>
      <c r="F221" s="7">
        <v>0</v>
      </c>
      <c r="G221" s="10">
        <f t="shared" si="22"/>
        <v>0</v>
      </c>
      <c r="H221" s="35" t="s">
        <v>93</v>
      </c>
      <c r="J221" s="836"/>
    </row>
    <row r="222" spans="1:16">
      <c r="B222" s="1" t="s">
        <v>95</v>
      </c>
      <c r="C222" s="2" t="s">
        <v>96</v>
      </c>
      <c r="D222" s="95" t="s">
        <v>61</v>
      </c>
      <c r="E222" s="4">
        <f>E223+E224+E225</f>
        <v>232</v>
      </c>
      <c r="F222" s="4">
        <f>F223+F224+F225</f>
        <v>231</v>
      </c>
      <c r="G222" s="9">
        <f t="shared" si="22"/>
        <v>99.568965517241381</v>
      </c>
      <c r="H222" s="35"/>
      <c r="J222" s="836"/>
    </row>
    <row r="223" spans="1:16" ht="31.5">
      <c r="B223" s="5" t="s">
        <v>7</v>
      </c>
      <c r="C223" s="6" t="s">
        <v>98</v>
      </c>
      <c r="D223" s="95" t="s">
        <v>61</v>
      </c>
      <c r="E223" s="7">
        <v>46</v>
      </c>
      <c r="F223" s="7">
        <v>42</v>
      </c>
      <c r="G223" s="10">
        <f t="shared" si="22"/>
        <v>91.304347826086953</v>
      </c>
      <c r="H223" s="35" t="s">
        <v>93</v>
      </c>
      <c r="J223" s="836"/>
    </row>
    <row r="224" spans="1:16" ht="31.5">
      <c r="B224" s="5" t="s">
        <v>12</v>
      </c>
      <c r="C224" s="6" t="s">
        <v>100</v>
      </c>
      <c r="D224" s="95" t="s">
        <v>61</v>
      </c>
      <c r="E224" s="7">
        <v>166</v>
      </c>
      <c r="F224" s="7">
        <v>168</v>
      </c>
      <c r="G224" s="10">
        <f t="shared" si="22"/>
        <v>101.20481927710843</v>
      </c>
      <c r="H224" s="35" t="s">
        <v>101</v>
      </c>
      <c r="J224" s="836"/>
    </row>
    <row r="225" spans="2:16" ht="31.5">
      <c r="B225" s="5" t="s">
        <v>14</v>
      </c>
      <c r="C225" s="6" t="s">
        <v>102</v>
      </c>
      <c r="D225" s="95" t="s">
        <v>61</v>
      </c>
      <c r="E225" s="7">
        <v>20</v>
      </c>
      <c r="F225" s="7">
        <v>21</v>
      </c>
      <c r="G225" s="10">
        <f t="shared" si="22"/>
        <v>105</v>
      </c>
      <c r="H225" s="35"/>
      <c r="J225" s="836"/>
    </row>
    <row r="226" spans="2:16">
      <c r="B226" s="72" t="s">
        <v>175</v>
      </c>
      <c r="C226" s="13" t="s">
        <v>103</v>
      </c>
      <c r="D226" s="105"/>
      <c r="E226" s="14">
        <f>E227+E231</f>
        <v>742</v>
      </c>
      <c r="F226" s="14">
        <f>F227+F231</f>
        <v>736</v>
      </c>
      <c r="G226" s="15">
        <f>F226/E226*100</f>
        <v>99.191374663072779</v>
      </c>
      <c r="H226" s="16"/>
      <c r="I226" s="44"/>
      <c r="J226" s="44"/>
      <c r="K226" s="44"/>
      <c r="L226" s="44"/>
      <c r="M226" s="44"/>
      <c r="N226" s="44"/>
      <c r="O226" s="44"/>
      <c r="P226" s="44"/>
    </row>
    <row r="227" spans="2:16">
      <c r="B227" s="1" t="s">
        <v>4</v>
      </c>
      <c r="C227" s="2" t="s">
        <v>89</v>
      </c>
      <c r="D227" s="95" t="s">
        <v>90</v>
      </c>
      <c r="E227" s="4">
        <f>E228+E229+E230</f>
        <v>371</v>
      </c>
      <c r="F227" s="4">
        <f>F228+F229+F230</f>
        <v>368</v>
      </c>
      <c r="G227" s="9">
        <f>F227/E227*100</f>
        <v>99.191374663072779</v>
      </c>
      <c r="H227" s="68"/>
      <c r="I227" s="44"/>
      <c r="J227" s="44"/>
      <c r="K227" s="44"/>
      <c r="L227" s="44"/>
      <c r="M227" s="44"/>
      <c r="N227" s="44"/>
      <c r="O227" s="44"/>
      <c r="P227" s="44"/>
    </row>
    <row r="228" spans="2:16" ht="31.5">
      <c r="B228" s="5" t="s">
        <v>26</v>
      </c>
      <c r="C228" s="6" t="s">
        <v>91</v>
      </c>
      <c r="D228" s="95" t="s">
        <v>90</v>
      </c>
      <c r="E228" s="7">
        <v>351</v>
      </c>
      <c r="F228" s="7">
        <v>343</v>
      </c>
      <c r="G228" s="10">
        <f t="shared" ref="G228:G234" si="23">F228/E228*100</f>
        <v>97.720797720797719</v>
      </c>
      <c r="H228" s="35" t="s">
        <v>93</v>
      </c>
    </row>
    <row r="229" spans="2:16" ht="31.5">
      <c r="B229" s="5" t="s">
        <v>27</v>
      </c>
      <c r="C229" s="6" t="s">
        <v>92</v>
      </c>
      <c r="D229" s="95" t="s">
        <v>90</v>
      </c>
      <c r="E229" s="7">
        <v>17</v>
      </c>
      <c r="F229" s="7">
        <v>23</v>
      </c>
      <c r="G229" s="10">
        <f t="shared" si="23"/>
        <v>135.29411764705884</v>
      </c>
      <c r="H229" s="35" t="s">
        <v>101</v>
      </c>
    </row>
    <row r="230" spans="2:16" ht="31.5">
      <c r="B230" s="5" t="s">
        <v>28</v>
      </c>
      <c r="C230" s="6" t="s">
        <v>94</v>
      </c>
      <c r="D230" s="95" t="s">
        <v>90</v>
      </c>
      <c r="E230" s="7">
        <v>3</v>
      </c>
      <c r="F230" s="7">
        <v>2</v>
      </c>
      <c r="G230" s="10">
        <f t="shared" si="23"/>
        <v>66.666666666666657</v>
      </c>
      <c r="H230" s="35" t="s">
        <v>93</v>
      </c>
    </row>
    <row r="231" spans="2:16">
      <c r="B231" s="1" t="s">
        <v>95</v>
      </c>
      <c r="C231" s="2" t="s">
        <v>96</v>
      </c>
      <c r="D231" s="95" t="s">
        <v>61</v>
      </c>
      <c r="E231" s="4">
        <f>E232+E233+E234</f>
        <v>371</v>
      </c>
      <c r="F231" s="4">
        <f>F232+F233+F234</f>
        <v>368</v>
      </c>
      <c r="G231" s="9">
        <f t="shared" si="23"/>
        <v>99.191374663072779</v>
      </c>
      <c r="H231" s="35"/>
    </row>
    <row r="232" spans="2:16" ht="31.5">
      <c r="B232" s="5" t="s">
        <v>7</v>
      </c>
      <c r="C232" s="6" t="s">
        <v>98</v>
      </c>
      <c r="D232" s="95" t="s">
        <v>61</v>
      </c>
      <c r="E232" s="7">
        <v>40</v>
      </c>
      <c r="F232" s="7">
        <v>37</v>
      </c>
      <c r="G232" s="10">
        <f t="shared" si="23"/>
        <v>92.5</v>
      </c>
      <c r="H232" s="35" t="s">
        <v>93</v>
      </c>
    </row>
    <row r="233" spans="2:16" ht="31.5">
      <c r="B233" s="5" t="s">
        <v>12</v>
      </c>
      <c r="C233" s="6" t="s">
        <v>100</v>
      </c>
      <c r="D233" s="95" t="s">
        <v>61</v>
      </c>
      <c r="E233" s="7">
        <v>255</v>
      </c>
      <c r="F233" s="7">
        <v>263</v>
      </c>
      <c r="G233" s="10">
        <f t="shared" si="23"/>
        <v>103.1372549019608</v>
      </c>
      <c r="H233" s="35" t="s">
        <v>101</v>
      </c>
    </row>
    <row r="234" spans="2:16" ht="31.5">
      <c r="B234" s="5" t="s">
        <v>14</v>
      </c>
      <c r="C234" s="6" t="s">
        <v>102</v>
      </c>
      <c r="D234" s="95" t="s">
        <v>61</v>
      </c>
      <c r="E234" s="7">
        <v>76</v>
      </c>
      <c r="F234" s="7">
        <v>68</v>
      </c>
      <c r="G234" s="10">
        <f t="shared" si="23"/>
        <v>89.473684210526315</v>
      </c>
      <c r="H234" s="35" t="s">
        <v>93</v>
      </c>
    </row>
    <row r="235" spans="2:16" s="19" customFormat="1">
      <c r="B235" s="72" t="s">
        <v>176</v>
      </c>
      <c r="C235" s="13" t="s">
        <v>104</v>
      </c>
      <c r="D235" s="105"/>
      <c r="E235" s="14">
        <f>E236+E240</f>
        <v>568</v>
      </c>
      <c r="F235" s="14">
        <f>F236+F240</f>
        <v>564</v>
      </c>
      <c r="G235" s="15">
        <f>F235/E235*100</f>
        <v>99.295774647887328</v>
      </c>
      <c r="H235" s="16"/>
      <c r="I235" s="59"/>
      <c r="J235" s="59"/>
      <c r="K235" s="59"/>
      <c r="L235" s="59"/>
      <c r="M235" s="59"/>
      <c r="N235" s="59"/>
      <c r="O235" s="59"/>
      <c r="P235" s="59"/>
    </row>
    <row r="236" spans="2:16">
      <c r="B236" s="1" t="s">
        <v>4</v>
      </c>
      <c r="C236" s="2" t="s">
        <v>89</v>
      </c>
      <c r="D236" s="95" t="s">
        <v>90</v>
      </c>
      <c r="E236" s="4">
        <f>E237+E238+E239</f>
        <v>284</v>
      </c>
      <c r="F236" s="4">
        <f>F237+F238+F239</f>
        <v>282</v>
      </c>
      <c r="G236" s="9">
        <f>F236/E236*100</f>
        <v>99.295774647887328</v>
      </c>
      <c r="H236" s="45"/>
      <c r="I236" s="44"/>
      <c r="J236" s="44"/>
      <c r="K236" s="44"/>
      <c r="L236" s="44"/>
      <c r="M236" s="44"/>
      <c r="N236" s="44"/>
      <c r="O236" s="44"/>
      <c r="P236" s="44"/>
    </row>
    <row r="237" spans="2:16" ht="31.5">
      <c r="B237" s="5" t="s">
        <v>26</v>
      </c>
      <c r="C237" s="6" t="s">
        <v>91</v>
      </c>
      <c r="D237" s="95" t="s">
        <v>90</v>
      </c>
      <c r="E237" s="7">
        <v>280</v>
      </c>
      <c r="F237" s="7">
        <v>277</v>
      </c>
      <c r="G237" s="10">
        <f t="shared" ref="G237:G243" si="24">F237/E237*100</f>
        <v>98.928571428571431</v>
      </c>
      <c r="H237" s="35" t="s">
        <v>93</v>
      </c>
    </row>
    <row r="238" spans="2:16" ht="31.5">
      <c r="B238" s="5" t="s">
        <v>27</v>
      </c>
      <c r="C238" s="6" t="s">
        <v>92</v>
      </c>
      <c r="D238" s="95" t="s">
        <v>90</v>
      </c>
      <c r="E238" s="7">
        <v>2</v>
      </c>
      <c r="F238" s="7">
        <v>3</v>
      </c>
      <c r="G238" s="10">
        <f t="shared" si="24"/>
        <v>150</v>
      </c>
      <c r="H238" s="35" t="s">
        <v>101</v>
      </c>
    </row>
    <row r="239" spans="2:16">
      <c r="B239" s="5" t="s">
        <v>28</v>
      </c>
      <c r="C239" s="6" t="s">
        <v>94</v>
      </c>
      <c r="D239" s="95" t="s">
        <v>90</v>
      </c>
      <c r="E239" s="7">
        <v>2</v>
      </c>
      <c r="F239" s="7">
        <v>2</v>
      </c>
      <c r="G239" s="10">
        <f t="shared" si="24"/>
        <v>100</v>
      </c>
      <c r="H239" s="35"/>
    </row>
    <row r="240" spans="2:16">
      <c r="B240" s="1" t="s">
        <v>95</v>
      </c>
      <c r="C240" s="2" t="s">
        <v>96</v>
      </c>
      <c r="D240" s="95" t="s">
        <v>61</v>
      </c>
      <c r="E240" s="4">
        <f>E241+E242+E243</f>
        <v>284</v>
      </c>
      <c r="F240" s="4">
        <f>F241+F242+F243</f>
        <v>282</v>
      </c>
      <c r="G240" s="9">
        <f t="shared" si="24"/>
        <v>99.295774647887328</v>
      </c>
      <c r="H240" s="46"/>
    </row>
    <row r="241" spans="2:16" ht="31.5">
      <c r="B241" s="5" t="s">
        <v>97</v>
      </c>
      <c r="C241" s="6" t="s">
        <v>98</v>
      </c>
      <c r="D241" s="95" t="s">
        <v>61</v>
      </c>
      <c r="E241" s="7">
        <v>59</v>
      </c>
      <c r="F241" s="7">
        <v>53</v>
      </c>
      <c r="G241" s="10">
        <f t="shared" si="24"/>
        <v>89.830508474576277</v>
      </c>
      <c r="H241" s="35" t="s">
        <v>93</v>
      </c>
    </row>
    <row r="242" spans="2:16" ht="31.5">
      <c r="B242" s="5" t="s">
        <v>99</v>
      </c>
      <c r="C242" s="6" t="s">
        <v>100</v>
      </c>
      <c r="D242" s="95" t="s">
        <v>61</v>
      </c>
      <c r="E242" s="7">
        <v>215</v>
      </c>
      <c r="F242" s="7">
        <v>219</v>
      </c>
      <c r="G242" s="10">
        <f t="shared" si="24"/>
        <v>101.86046511627906</v>
      </c>
      <c r="H242" s="35" t="s">
        <v>101</v>
      </c>
    </row>
    <row r="243" spans="2:16" ht="31.5">
      <c r="B243" s="5" t="s">
        <v>14</v>
      </c>
      <c r="C243" s="6" t="s">
        <v>102</v>
      </c>
      <c r="D243" s="95" t="s">
        <v>61</v>
      </c>
      <c r="E243" s="7">
        <v>10</v>
      </c>
      <c r="F243" s="7">
        <v>10</v>
      </c>
      <c r="G243" s="10">
        <f t="shared" si="24"/>
        <v>100</v>
      </c>
      <c r="H243" s="35"/>
      <c r="I243" s="44"/>
      <c r="J243" s="44"/>
      <c r="K243" s="44"/>
      <c r="L243" s="44"/>
      <c r="M243" s="44"/>
      <c r="N243" s="44"/>
      <c r="O243" s="44"/>
      <c r="P243" s="44"/>
    </row>
    <row r="244" spans="2:16" s="19" customFormat="1">
      <c r="B244" s="72" t="s">
        <v>177</v>
      </c>
      <c r="C244" s="13" t="s">
        <v>105</v>
      </c>
      <c r="D244" s="105"/>
      <c r="E244" s="14">
        <f>E245+E248</f>
        <v>616</v>
      </c>
      <c r="F244" s="14">
        <f>F245+F248</f>
        <v>636</v>
      </c>
      <c r="G244" s="15">
        <f>F244/E244*100</f>
        <v>103.24675324675326</v>
      </c>
      <c r="H244" s="60"/>
      <c r="I244" s="59"/>
      <c r="J244" s="59"/>
      <c r="K244" s="59"/>
      <c r="L244" s="59"/>
      <c r="M244" s="59"/>
      <c r="N244" s="59"/>
      <c r="O244" s="59"/>
      <c r="P244" s="59"/>
    </row>
    <row r="245" spans="2:16">
      <c r="B245" s="1" t="s">
        <v>4</v>
      </c>
      <c r="C245" s="2" t="s">
        <v>89</v>
      </c>
      <c r="D245" s="95" t="s">
        <v>90</v>
      </c>
      <c r="E245" s="4">
        <f>E246+E247</f>
        <v>308</v>
      </c>
      <c r="F245" s="4">
        <f>F246+F247</f>
        <v>318</v>
      </c>
      <c r="G245" s="9">
        <f>F245/E245*100</f>
        <v>103.24675324675326</v>
      </c>
      <c r="H245" s="68"/>
    </row>
    <row r="246" spans="2:16" ht="31.5">
      <c r="B246" s="5" t="s">
        <v>26</v>
      </c>
      <c r="C246" s="6" t="s">
        <v>91</v>
      </c>
      <c r="D246" s="95" t="s">
        <v>90</v>
      </c>
      <c r="E246" s="7">
        <v>307</v>
      </c>
      <c r="F246" s="7">
        <v>317</v>
      </c>
      <c r="G246" s="10">
        <f t="shared" ref="G246:G251" si="25">F246/E246*100</f>
        <v>103.25732899022802</v>
      </c>
      <c r="H246" s="35" t="s">
        <v>101</v>
      </c>
    </row>
    <row r="247" spans="2:16">
      <c r="B247" s="5" t="s">
        <v>27</v>
      </c>
      <c r="C247" s="6" t="s">
        <v>94</v>
      </c>
      <c r="D247" s="95" t="s">
        <v>90</v>
      </c>
      <c r="E247" s="7">
        <v>1</v>
      </c>
      <c r="F247" s="7">
        <v>1</v>
      </c>
      <c r="G247" s="10">
        <f t="shared" si="25"/>
        <v>100</v>
      </c>
      <c r="H247" s="35"/>
    </row>
    <row r="248" spans="2:16">
      <c r="B248" s="1" t="s">
        <v>95</v>
      </c>
      <c r="C248" s="2" t="s">
        <v>96</v>
      </c>
      <c r="D248" s="95" t="s">
        <v>61</v>
      </c>
      <c r="E248" s="4">
        <f>E249+E250+E251</f>
        <v>308</v>
      </c>
      <c r="F248" s="4">
        <f>F249+F250+F251</f>
        <v>318</v>
      </c>
      <c r="G248" s="9">
        <f t="shared" si="25"/>
        <v>103.24675324675326</v>
      </c>
      <c r="H248" s="35"/>
    </row>
    <row r="249" spans="2:16" ht="31.5">
      <c r="B249" s="5" t="s">
        <v>7</v>
      </c>
      <c r="C249" s="6" t="s">
        <v>98</v>
      </c>
      <c r="D249" s="95" t="s">
        <v>61</v>
      </c>
      <c r="E249" s="7">
        <v>25</v>
      </c>
      <c r="F249" s="7">
        <v>28</v>
      </c>
      <c r="G249" s="10">
        <f t="shared" si="25"/>
        <v>112.00000000000001</v>
      </c>
      <c r="H249" s="35" t="s">
        <v>101</v>
      </c>
    </row>
    <row r="250" spans="2:16" ht="31.5">
      <c r="B250" s="5" t="s">
        <v>12</v>
      </c>
      <c r="C250" s="6" t="s">
        <v>100</v>
      </c>
      <c r="D250" s="95" t="s">
        <v>61</v>
      </c>
      <c r="E250" s="7">
        <v>263</v>
      </c>
      <c r="F250" s="7">
        <v>270</v>
      </c>
      <c r="G250" s="10">
        <f t="shared" si="25"/>
        <v>102.6615969581749</v>
      </c>
      <c r="H250" s="35" t="s">
        <v>101</v>
      </c>
    </row>
    <row r="251" spans="2:16" ht="31.5">
      <c r="B251" s="5" t="s">
        <v>14</v>
      </c>
      <c r="C251" s="6" t="s">
        <v>102</v>
      </c>
      <c r="D251" s="95" t="s">
        <v>61</v>
      </c>
      <c r="E251" s="7">
        <v>20</v>
      </c>
      <c r="F251" s="7">
        <v>20</v>
      </c>
      <c r="G251" s="10">
        <f t="shared" si="25"/>
        <v>100</v>
      </c>
      <c r="H251" s="35"/>
      <c r="I251" s="44"/>
      <c r="J251" s="44"/>
      <c r="K251" s="44"/>
      <c r="L251" s="44"/>
      <c r="M251" s="44"/>
      <c r="N251" s="44"/>
      <c r="O251" s="44"/>
      <c r="P251" s="44"/>
    </row>
    <row r="252" spans="2:16" s="19" customFormat="1">
      <c r="B252" s="72" t="s">
        <v>178</v>
      </c>
      <c r="C252" s="13" t="s">
        <v>106</v>
      </c>
      <c r="D252" s="105"/>
      <c r="E252" s="14">
        <f>E253+E257</f>
        <v>906</v>
      </c>
      <c r="F252" s="14">
        <f>F253+F257</f>
        <v>884</v>
      </c>
      <c r="G252" s="15">
        <f>F252/E252*100</f>
        <v>97.571743929359826</v>
      </c>
      <c r="H252" s="60"/>
    </row>
    <row r="253" spans="2:16">
      <c r="B253" s="1" t="s">
        <v>4</v>
      </c>
      <c r="C253" s="2" t="s">
        <v>89</v>
      </c>
      <c r="D253" s="95" t="s">
        <v>90</v>
      </c>
      <c r="E253" s="4">
        <f>E254+E255+E256</f>
        <v>453</v>
      </c>
      <c r="F253" s="4">
        <f>F254+F255+F256</f>
        <v>442</v>
      </c>
      <c r="G253" s="9">
        <f>F253/E253*100</f>
        <v>97.571743929359826</v>
      </c>
      <c r="H253" s="68"/>
    </row>
    <row r="254" spans="2:16" ht="31.5">
      <c r="B254" s="5" t="s">
        <v>26</v>
      </c>
      <c r="C254" s="6" t="s">
        <v>91</v>
      </c>
      <c r="D254" s="95" t="s">
        <v>90</v>
      </c>
      <c r="E254" s="7">
        <v>445</v>
      </c>
      <c r="F254" s="7">
        <v>432</v>
      </c>
      <c r="G254" s="10">
        <f t="shared" ref="G254:G260" si="26">F254/E254*100</f>
        <v>97.078651685393254</v>
      </c>
      <c r="H254" s="35" t="s">
        <v>93</v>
      </c>
    </row>
    <row r="255" spans="2:16" ht="31.5">
      <c r="B255" s="5" t="s">
        <v>27</v>
      </c>
      <c r="C255" s="6" t="s">
        <v>92</v>
      </c>
      <c r="D255" s="95" t="s">
        <v>90</v>
      </c>
      <c r="E255" s="7">
        <v>3</v>
      </c>
      <c r="F255" s="7">
        <v>4</v>
      </c>
      <c r="G255" s="10">
        <f t="shared" si="26"/>
        <v>133.33333333333331</v>
      </c>
      <c r="H255" s="35" t="s">
        <v>101</v>
      </c>
    </row>
    <row r="256" spans="2:16" ht="31.5">
      <c r="B256" s="5" t="s">
        <v>28</v>
      </c>
      <c r="C256" s="6" t="s">
        <v>94</v>
      </c>
      <c r="D256" s="95" t="s">
        <v>90</v>
      </c>
      <c r="E256" s="7">
        <v>5</v>
      </c>
      <c r="F256" s="7">
        <v>6</v>
      </c>
      <c r="G256" s="10">
        <f t="shared" si="26"/>
        <v>120</v>
      </c>
      <c r="H256" s="35" t="s">
        <v>101</v>
      </c>
    </row>
    <row r="257" spans="2:16">
      <c r="B257" s="1" t="s">
        <v>95</v>
      </c>
      <c r="C257" s="2" t="s">
        <v>96</v>
      </c>
      <c r="D257" s="95" t="s">
        <v>61</v>
      </c>
      <c r="E257" s="4">
        <f>E258+E259+E260</f>
        <v>453</v>
      </c>
      <c r="F257" s="4">
        <f>F258+F259+F260</f>
        <v>442</v>
      </c>
      <c r="G257" s="9">
        <f t="shared" si="26"/>
        <v>97.571743929359826</v>
      </c>
      <c r="H257" s="35"/>
    </row>
    <row r="258" spans="2:16" ht="31.5">
      <c r="B258" s="5" t="s">
        <v>7</v>
      </c>
      <c r="C258" s="6" t="s">
        <v>98</v>
      </c>
      <c r="D258" s="95" t="s">
        <v>61</v>
      </c>
      <c r="E258" s="7">
        <v>103</v>
      </c>
      <c r="F258" s="7">
        <v>89</v>
      </c>
      <c r="G258" s="10">
        <f t="shared" si="26"/>
        <v>86.40776699029125</v>
      </c>
      <c r="H258" s="35" t="s">
        <v>93</v>
      </c>
    </row>
    <row r="259" spans="2:16" ht="31.5">
      <c r="B259" s="5" t="s">
        <v>12</v>
      </c>
      <c r="C259" s="6" t="s">
        <v>100</v>
      </c>
      <c r="D259" s="95" t="s">
        <v>61</v>
      </c>
      <c r="E259" s="7">
        <v>310</v>
      </c>
      <c r="F259" s="7">
        <v>314</v>
      </c>
      <c r="G259" s="10">
        <f t="shared" si="26"/>
        <v>101.29032258064517</v>
      </c>
      <c r="H259" s="35" t="s">
        <v>101</v>
      </c>
      <c r="I259" s="44"/>
      <c r="J259" s="44"/>
      <c r="K259" s="44"/>
      <c r="L259" s="44"/>
      <c r="M259" s="44"/>
      <c r="N259" s="44"/>
      <c r="O259" s="44"/>
      <c r="P259" s="44"/>
    </row>
    <row r="260" spans="2:16" ht="31.5">
      <c r="B260" s="5" t="s">
        <v>14</v>
      </c>
      <c r="C260" s="6" t="s">
        <v>102</v>
      </c>
      <c r="D260" s="95" t="s">
        <v>61</v>
      </c>
      <c r="E260" s="7">
        <v>40</v>
      </c>
      <c r="F260" s="7">
        <v>39</v>
      </c>
      <c r="G260" s="10">
        <f t="shared" si="26"/>
        <v>97.5</v>
      </c>
      <c r="H260" s="35" t="s">
        <v>93</v>
      </c>
    </row>
    <row r="261" spans="2:16" s="19" customFormat="1">
      <c r="B261" s="72" t="s">
        <v>179</v>
      </c>
      <c r="C261" s="13" t="s">
        <v>107</v>
      </c>
      <c r="D261" s="105"/>
      <c r="E261" s="14">
        <f>E262+E266</f>
        <v>498</v>
      </c>
      <c r="F261" s="14">
        <f>F262+F266</f>
        <v>490</v>
      </c>
      <c r="G261" s="15">
        <f>F261/E261*100</f>
        <v>98.393574297188763</v>
      </c>
      <c r="H261" s="60"/>
    </row>
    <row r="262" spans="2:16">
      <c r="B262" s="1" t="s">
        <v>4</v>
      </c>
      <c r="C262" s="2" t="s">
        <v>89</v>
      </c>
      <c r="D262" s="95" t="s">
        <v>90</v>
      </c>
      <c r="E262" s="4">
        <f>E263+E264+E265</f>
        <v>249</v>
      </c>
      <c r="F262" s="4">
        <f>F263+F264+F265</f>
        <v>245</v>
      </c>
      <c r="G262" s="9">
        <f>F262/E262*100</f>
        <v>98.393574297188763</v>
      </c>
      <c r="H262" s="68"/>
    </row>
    <row r="263" spans="2:16" ht="31.5">
      <c r="B263" s="5" t="s">
        <v>26</v>
      </c>
      <c r="C263" s="6" t="s">
        <v>91</v>
      </c>
      <c r="D263" s="95" t="s">
        <v>90</v>
      </c>
      <c r="E263" s="7">
        <v>245</v>
      </c>
      <c r="F263" s="7">
        <v>241</v>
      </c>
      <c r="G263" s="10">
        <f t="shared" ref="G263:G269" si="27">F263/E263*100</f>
        <v>98.367346938775512</v>
      </c>
      <c r="H263" s="35" t="s">
        <v>93</v>
      </c>
    </row>
    <row r="264" spans="2:16">
      <c r="B264" s="5" t="s">
        <v>27</v>
      </c>
      <c r="C264" s="6" t="s">
        <v>92</v>
      </c>
      <c r="D264" s="95" t="s">
        <v>90</v>
      </c>
      <c r="E264" s="7">
        <v>1</v>
      </c>
      <c r="F264" s="7">
        <v>1</v>
      </c>
      <c r="G264" s="10">
        <f t="shared" si="27"/>
        <v>100</v>
      </c>
      <c r="H264" s="35"/>
    </row>
    <row r="265" spans="2:16">
      <c r="B265" s="5" t="s">
        <v>28</v>
      </c>
      <c r="C265" s="6" t="s">
        <v>94</v>
      </c>
      <c r="D265" s="95" t="s">
        <v>90</v>
      </c>
      <c r="E265" s="7">
        <v>3</v>
      </c>
      <c r="F265" s="7">
        <v>3</v>
      </c>
      <c r="G265" s="10">
        <f t="shared" si="27"/>
        <v>100</v>
      </c>
      <c r="H265" s="35"/>
    </row>
    <row r="266" spans="2:16">
      <c r="B266" s="1" t="s">
        <v>95</v>
      </c>
      <c r="C266" s="2" t="s">
        <v>96</v>
      </c>
      <c r="D266" s="95" t="s">
        <v>61</v>
      </c>
      <c r="E266" s="4">
        <f>E267+E268+E269</f>
        <v>249</v>
      </c>
      <c r="F266" s="4">
        <f>F267+F268+F269</f>
        <v>245</v>
      </c>
      <c r="G266" s="9">
        <f t="shared" si="27"/>
        <v>98.393574297188763</v>
      </c>
      <c r="H266" s="35"/>
    </row>
    <row r="267" spans="2:16">
      <c r="B267" s="5" t="s">
        <v>7</v>
      </c>
      <c r="C267" s="6" t="s">
        <v>98</v>
      </c>
      <c r="D267" s="95" t="s">
        <v>61</v>
      </c>
      <c r="E267" s="7">
        <v>20</v>
      </c>
      <c r="F267" s="7">
        <v>20</v>
      </c>
      <c r="G267" s="10">
        <f t="shared" si="27"/>
        <v>100</v>
      </c>
      <c r="H267" s="35"/>
      <c r="I267" s="44"/>
      <c r="J267" s="44"/>
      <c r="K267" s="44"/>
      <c r="L267" s="44"/>
      <c r="M267" s="44"/>
      <c r="N267" s="44"/>
      <c r="O267" s="44"/>
      <c r="P267" s="44"/>
    </row>
    <row r="268" spans="2:16" ht="31.5">
      <c r="B268" s="5" t="s">
        <v>12</v>
      </c>
      <c r="C268" s="6" t="s">
        <v>100</v>
      </c>
      <c r="D268" s="95" t="s">
        <v>61</v>
      </c>
      <c r="E268" s="7">
        <v>209</v>
      </c>
      <c r="F268" s="7">
        <v>205</v>
      </c>
      <c r="G268" s="10">
        <f t="shared" si="27"/>
        <v>98.086124401913878</v>
      </c>
      <c r="H268" s="35" t="s">
        <v>93</v>
      </c>
      <c r="I268" s="44"/>
      <c r="J268" s="44"/>
      <c r="K268" s="44"/>
      <c r="L268" s="44"/>
      <c r="M268" s="44"/>
      <c r="N268" s="44"/>
      <c r="O268" s="44"/>
      <c r="P268" s="44"/>
    </row>
    <row r="269" spans="2:16" ht="31.5">
      <c r="B269" s="5" t="s">
        <v>14</v>
      </c>
      <c r="C269" s="6" t="s">
        <v>102</v>
      </c>
      <c r="D269" s="95" t="s">
        <v>61</v>
      </c>
      <c r="E269" s="7">
        <v>20</v>
      </c>
      <c r="F269" s="7">
        <v>20</v>
      </c>
      <c r="G269" s="10">
        <f t="shared" si="27"/>
        <v>100</v>
      </c>
      <c r="H269" s="35"/>
    </row>
    <row r="270" spans="2:16">
      <c r="B270" s="72" t="s">
        <v>180</v>
      </c>
      <c r="C270" s="13" t="s">
        <v>108</v>
      </c>
      <c r="D270" s="105"/>
      <c r="E270" s="14">
        <f>E271+E275</f>
        <v>484</v>
      </c>
      <c r="F270" s="14">
        <f>F271+F275</f>
        <v>446</v>
      </c>
      <c r="G270" s="15">
        <f>F270/E270*100</f>
        <v>92.148760330578511</v>
      </c>
      <c r="H270" s="60"/>
    </row>
    <row r="271" spans="2:16">
      <c r="B271" s="1" t="s">
        <v>4</v>
      </c>
      <c r="C271" s="2" t="s">
        <v>89</v>
      </c>
      <c r="D271" s="95" t="s">
        <v>90</v>
      </c>
      <c r="E271" s="4">
        <f>E272+E273+E274</f>
        <v>242</v>
      </c>
      <c r="F271" s="4">
        <f>F272+F273+F274</f>
        <v>223</v>
      </c>
      <c r="G271" s="9">
        <f>F271/E271*100</f>
        <v>92.148760330578511</v>
      </c>
      <c r="H271" s="68"/>
    </row>
    <row r="272" spans="2:16" ht="31.5">
      <c r="B272" s="5" t="s">
        <v>26</v>
      </c>
      <c r="C272" s="6" t="s">
        <v>91</v>
      </c>
      <c r="D272" s="95" t="s">
        <v>90</v>
      </c>
      <c r="E272" s="7">
        <v>237</v>
      </c>
      <c r="F272" s="7">
        <v>218</v>
      </c>
      <c r="G272" s="10">
        <f t="shared" ref="G272:G278" si="28">F272/E272*100</f>
        <v>91.983122362869196</v>
      </c>
      <c r="H272" s="35" t="s">
        <v>93</v>
      </c>
    </row>
    <row r="273" spans="2:16" ht="31.5">
      <c r="B273" s="5" t="s">
        <v>27</v>
      </c>
      <c r="C273" s="6" t="s">
        <v>92</v>
      </c>
      <c r="D273" s="95" t="s">
        <v>90</v>
      </c>
      <c r="E273" s="7">
        <v>2</v>
      </c>
      <c r="F273" s="7">
        <v>2</v>
      </c>
      <c r="G273" s="10">
        <f t="shared" si="28"/>
        <v>100</v>
      </c>
      <c r="H273" s="35" t="s">
        <v>101</v>
      </c>
    </row>
    <row r="274" spans="2:16">
      <c r="B274" s="5" t="s">
        <v>28</v>
      </c>
      <c r="C274" s="6" t="s">
        <v>94</v>
      </c>
      <c r="D274" s="95" t="s">
        <v>90</v>
      </c>
      <c r="E274" s="7">
        <v>3</v>
      </c>
      <c r="F274" s="7">
        <v>3</v>
      </c>
      <c r="G274" s="10">
        <f t="shared" si="28"/>
        <v>100</v>
      </c>
      <c r="H274" s="35"/>
    </row>
    <row r="275" spans="2:16">
      <c r="B275" s="1" t="s">
        <v>95</v>
      </c>
      <c r="C275" s="2" t="s">
        <v>96</v>
      </c>
      <c r="D275" s="95" t="s">
        <v>61</v>
      </c>
      <c r="E275" s="4">
        <f>E276+E277+E278</f>
        <v>242</v>
      </c>
      <c r="F275" s="4">
        <f>F276+F277+F278</f>
        <v>223</v>
      </c>
      <c r="G275" s="9">
        <f t="shared" si="28"/>
        <v>92.148760330578511</v>
      </c>
      <c r="H275" s="35"/>
    </row>
    <row r="276" spans="2:16" ht="31.5">
      <c r="B276" s="5" t="s">
        <v>7</v>
      </c>
      <c r="C276" s="6" t="s">
        <v>98</v>
      </c>
      <c r="D276" s="95" t="s">
        <v>61</v>
      </c>
      <c r="E276" s="7">
        <v>50</v>
      </c>
      <c r="F276" s="7">
        <v>49</v>
      </c>
      <c r="G276" s="10">
        <f t="shared" si="28"/>
        <v>98</v>
      </c>
      <c r="H276" s="35" t="s">
        <v>93</v>
      </c>
    </row>
    <row r="277" spans="2:16" ht="31.5">
      <c r="B277" s="5" t="s">
        <v>12</v>
      </c>
      <c r="C277" s="6" t="s">
        <v>100</v>
      </c>
      <c r="D277" s="95" t="s">
        <v>61</v>
      </c>
      <c r="E277" s="7">
        <v>157</v>
      </c>
      <c r="F277" s="7">
        <v>139</v>
      </c>
      <c r="G277" s="10">
        <f t="shared" si="28"/>
        <v>88.535031847133766</v>
      </c>
      <c r="H277" s="35" t="s">
        <v>93</v>
      </c>
    </row>
    <row r="278" spans="2:16" ht="31.5">
      <c r="B278" s="5" t="s">
        <v>14</v>
      </c>
      <c r="C278" s="6" t="s">
        <v>102</v>
      </c>
      <c r="D278" s="95" t="s">
        <v>61</v>
      </c>
      <c r="E278" s="7">
        <v>35</v>
      </c>
      <c r="F278" s="7">
        <v>35</v>
      </c>
      <c r="G278" s="10">
        <f t="shared" si="28"/>
        <v>100</v>
      </c>
      <c r="H278" s="35"/>
    </row>
    <row r="279" spans="2:16" s="19" customFormat="1">
      <c r="B279" s="72" t="s">
        <v>181</v>
      </c>
      <c r="C279" s="13" t="s">
        <v>109</v>
      </c>
      <c r="D279" s="105"/>
      <c r="E279" s="14">
        <f>E280+E284</f>
        <v>1050</v>
      </c>
      <c r="F279" s="14">
        <f>F280+F284</f>
        <v>978</v>
      </c>
      <c r="G279" s="15">
        <f>F279/E279*100</f>
        <v>93.142857142857139</v>
      </c>
      <c r="H279" s="60"/>
    </row>
    <row r="280" spans="2:16">
      <c r="B280" s="1" t="s">
        <v>4</v>
      </c>
      <c r="C280" s="2" t="s">
        <v>89</v>
      </c>
      <c r="D280" s="95" t="s">
        <v>90</v>
      </c>
      <c r="E280" s="4">
        <f>E281+E282+E283</f>
        <v>525</v>
      </c>
      <c r="F280" s="4">
        <f>F281+F282+F283</f>
        <v>489</v>
      </c>
      <c r="G280" s="9">
        <f>F280/E280*100</f>
        <v>93.142857142857139</v>
      </c>
      <c r="H280" s="68"/>
    </row>
    <row r="281" spans="2:16" ht="31.5">
      <c r="B281" s="5" t="s">
        <v>26</v>
      </c>
      <c r="C281" s="6" t="s">
        <v>91</v>
      </c>
      <c r="D281" s="95" t="s">
        <v>90</v>
      </c>
      <c r="E281" s="7">
        <v>521</v>
      </c>
      <c r="F281" s="7">
        <v>484</v>
      </c>
      <c r="G281" s="10">
        <f t="shared" ref="G281:G287" si="29">F281/E281*100</f>
        <v>92.898272552783112</v>
      </c>
      <c r="H281" s="35" t="s">
        <v>93</v>
      </c>
    </row>
    <row r="282" spans="2:16">
      <c r="B282" s="5" t="s">
        <v>27</v>
      </c>
      <c r="C282" s="6" t="s">
        <v>92</v>
      </c>
      <c r="D282" s="95" t="s">
        <v>90</v>
      </c>
      <c r="E282" s="7">
        <v>2</v>
      </c>
      <c r="F282" s="7">
        <v>2</v>
      </c>
      <c r="G282" s="10">
        <f t="shared" si="29"/>
        <v>100</v>
      </c>
      <c r="H282" s="35"/>
    </row>
    <row r="283" spans="2:16" ht="31.5">
      <c r="B283" s="5" t="s">
        <v>28</v>
      </c>
      <c r="C283" s="6" t="s">
        <v>94</v>
      </c>
      <c r="D283" s="95" t="s">
        <v>90</v>
      </c>
      <c r="E283" s="7">
        <v>2</v>
      </c>
      <c r="F283" s="7">
        <v>3</v>
      </c>
      <c r="G283" s="10">
        <f t="shared" si="29"/>
        <v>150</v>
      </c>
      <c r="H283" s="35" t="s">
        <v>101</v>
      </c>
      <c r="I283" s="44"/>
      <c r="J283" s="44"/>
      <c r="K283" s="44"/>
      <c r="L283" s="44"/>
      <c r="M283" s="44"/>
      <c r="N283" s="44"/>
      <c r="O283" s="44"/>
      <c r="P283" s="44"/>
    </row>
    <row r="284" spans="2:16">
      <c r="B284" s="1" t="s">
        <v>95</v>
      </c>
      <c r="C284" s="2" t="s">
        <v>96</v>
      </c>
      <c r="D284" s="95" t="s">
        <v>61</v>
      </c>
      <c r="E284" s="4">
        <f>E285+E286+E287</f>
        <v>525</v>
      </c>
      <c r="F284" s="4">
        <f>F285+F286+F287</f>
        <v>489</v>
      </c>
      <c r="G284" s="9">
        <f t="shared" si="29"/>
        <v>93.142857142857139</v>
      </c>
      <c r="H284" s="35"/>
      <c r="I284" s="44"/>
      <c r="J284" s="44"/>
      <c r="K284" s="44"/>
      <c r="L284" s="44"/>
      <c r="M284" s="44"/>
      <c r="N284" s="44"/>
      <c r="O284" s="44"/>
      <c r="P284" s="44"/>
    </row>
    <row r="285" spans="2:16" ht="31.5">
      <c r="B285" s="5" t="s">
        <v>7</v>
      </c>
      <c r="C285" s="6" t="s">
        <v>98</v>
      </c>
      <c r="D285" s="95" t="s">
        <v>61</v>
      </c>
      <c r="E285" s="7">
        <v>115</v>
      </c>
      <c r="F285" s="7">
        <v>106</v>
      </c>
      <c r="G285" s="10">
        <f t="shared" si="29"/>
        <v>92.173913043478265</v>
      </c>
      <c r="H285" s="35" t="s">
        <v>93</v>
      </c>
      <c r="I285" s="44"/>
      <c r="J285" s="44"/>
      <c r="K285" s="44"/>
      <c r="L285" s="44"/>
      <c r="M285" s="44"/>
      <c r="N285" s="44"/>
      <c r="O285" s="44"/>
      <c r="P285" s="44"/>
    </row>
    <row r="286" spans="2:16" ht="31.5">
      <c r="B286" s="5" t="s">
        <v>12</v>
      </c>
      <c r="C286" s="6" t="s">
        <v>100</v>
      </c>
      <c r="D286" s="95" t="s">
        <v>61</v>
      </c>
      <c r="E286" s="7">
        <v>350</v>
      </c>
      <c r="F286" s="7">
        <v>328</v>
      </c>
      <c r="G286" s="10">
        <f t="shared" si="29"/>
        <v>93.714285714285722</v>
      </c>
      <c r="H286" s="35" t="s">
        <v>93</v>
      </c>
      <c r="I286" s="48"/>
      <c r="J286" s="48"/>
      <c r="K286" s="49"/>
      <c r="L286" s="47"/>
      <c r="M286" s="44"/>
      <c r="N286" s="48"/>
      <c r="O286" s="48"/>
      <c r="P286" s="49"/>
    </row>
    <row r="287" spans="2:16" ht="31.5">
      <c r="B287" s="5" t="s">
        <v>14</v>
      </c>
      <c r="C287" s="6" t="s">
        <v>102</v>
      </c>
      <c r="D287" s="95" t="s">
        <v>61</v>
      </c>
      <c r="E287" s="7">
        <v>60</v>
      </c>
      <c r="F287" s="7">
        <v>55</v>
      </c>
      <c r="G287" s="10">
        <f t="shared" si="29"/>
        <v>91.666666666666657</v>
      </c>
      <c r="H287" s="35" t="s">
        <v>93</v>
      </c>
      <c r="I287" s="48"/>
      <c r="J287" s="48"/>
      <c r="K287" s="49"/>
      <c r="L287" s="50"/>
      <c r="M287" s="44"/>
      <c r="N287" s="48"/>
      <c r="O287" s="48"/>
      <c r="P287" s="49"/>
    </row>
    <row r="288" spans="2:16" s="19" customFormat="1">
      <c r="B288" s="72" t="s">
        <v>182</v>
      </c>
      <c r="C288" s="13" t="s">
        <v>110</v>
      </c>
      <c r="D288" s="104"/>
      <c r="E288" s="76">
        <f>E289+E290+E291+E292+E293</f>
        <v>544</v>
      </c>
      <c r="F288" s="76">
        <f>F289+F290+F291+F292+F293</f>
        <v>501</v>
      </c>
      <c r="G288" s="15">
        <f>F288/E288*100</f>
        <v>92.095588235294116</v>
      </c>
      <c r="H288" s="60"/>
    </row>
    <row r="289" spans="2:8" ht="25.5">
      <c r="B289" s="74" t="s">
        <v>4</v>
      </c>
      <c r="C289" s="2" t="s">
        <v>111</v>
      </c>
      <c r="D289" s="96" t="s">
        <v>112</v>
      </c>
      <c r="E289" s="77">
        <v>120</v>
      </c>
      <c r="F289" s="77">
        <v>120</v>
      </c>
      <c r="G289" s="9">
        <f t="shared" ref="G289:G293" si="30">F289/E289*100</f>
        <v>100</v>
      </c>
      <c r="H289" s="35"/>
    </row>
    <row r="290" spans="2:8" ht="25.5">
      <c r="B290" s="74" t="s">
        <v>6</v>
      </c>
      <c r="C290" s="2" t="s">
        <v>113</v>
      </c>
      <c r="D290" s="96" t="s">
        <v>114</v>
      </c>
      <c r="E290" s="77">
        <v>96</v>
      </c>
      <c r="F290" s="77">
        <v>100</v>
      </c>
      <c r="G290" s="51">
        <f t="shared" si="30"/>
        <v>104.16666666666667</v>
      </c>
      <c r="H290" s="35"/>
    </row>
    <row r="291" spans="2:8" ht="49.5" customHeight="1">
      <c r="B291" s="74" t="s">
        <v>8</v>
      </c>
      <c r="C291" s="52" t="s">
        <v>115</v>
      </c>
      <c r="D291" s="97" t="s">
        <v>116</v>
      </c>
      <c r="E291" s="77">
        <v>324</v>
      </c>
      <c r="F291" s="77">
        <v>278</v>
      </c>
      <c r="G291" s="51">
        <f t="shared" si="30"/>
        <v>85.802469135802468</v>
      </c>
      <c r="H291" s="35" t="s">
        <v>93</v>
      </c>
    </row>
    <row r="292" spans="2:8" ht="41.25" customHeight="1">
      <c r="B292" s="74" t="s">
        <v>18</v>
      </c>
      <c r="C292" s="52" t="s">
        <v>184</v>
      </c>
      <c r="D292" s="96" t="s">
        <v>117</v>
      </c>
      <c r="E292" s="77">
        <v>2</v>
      </c>
      <c r="F292" s="77">
        <v>1</v>
      </c>
      <c r="G292" s="51">
        <f t="shared" si="30"/>
        <v>50</v>
      </c>
      <c r="H292" s="35" t="s">
        <v>93</v>
      </c>
    </row>
    <row r="293" spans="2:8" ht="48" customHeight="1">
      <c r="B293" s="111" t="s">
        <v>21</v>
      </c>
      <c r="C293" s="52" t="s">
        <v>118</v>
      </c>
      <c r="D293" s="96" t="s">
        <v>117</v>
      </c>
      <c r="E293" s="77">
        <v>2</v>
      </c>
      <c r="F293" s="77">
        <v>2</v>
      </c>
      <c r="G293" s="112">
        <f t="shared" si="30"/>
        <v>100</v>
      </c>
      <c r="H293" s="35"/>
    </row>
    <row r="294" spans="2:8" s="19" customFormat="1">
      <c r="B294" s="72" t="s">
        <v>183</v>
      </c>
      <c r="C294" s="13" t="s">
        <v>119</v>
      </c>
      <c r="D294" s="104"/>
      <c r="E294" s="76">
        <f>E295+E296+E297+E298+E299</f>
        <v>626</v>
      </c>
      <c r="F294" s="76">
        <f>F295+F296+F297+F298+F299</f>
        <v>423</v>
      </c>
      <c r="G294" s="15">
        <f>F294/E294*100</f>
        <v>67.571884984025559</v>
      </c>
      <c r="H294" s="60"/>
    </row>
    <row r="295" spans="2:8" ht="31.5">
      <c r="B295" s="74" t="s">
        <v>4</v>
      </c>
      <c r="C295" s="2" t="s">
        <v>111</v>
      </c>
      <c r="D295" s="97" t="s">
        <v>9</v>
      </c>
      <c r="E295" s="78">
        <v>326</v>
      </c>
      <c r="F295" s="78">
        <v>201</v>
      </c>
      <c r="G295" s="9">
        <f>F295/E295*100</f>
        <v>61.656441717791409</v>
      </c>
      <c r="H295" s="35" t="s">
        <v>93</v>
      </c>
    </row>
    <row r="296" spans="2:8" ht="31.5">
      <c r="B296" s="74" t="s">
        <v>6</v>
      </c>
      <c r="C296" s="2" t="s">
        <v>120</v>
      </c>
      <c r="D296" s="96" t="s">
        <v>117</v>
      </c>
      <c r="E296" s="78">
        <v>4</v>
      </c>
      <c r="F296" s="78">
        <v>3</v>
      </c>
      <c r="G296" s="9">
        <f>F296/E296*100</f>
        <v>75</v>
      </c>
      <c r="H296" s="35" t="s">
        <v>93</v>
      </c>
    </row>
    <row r="297" spans="2:8" ht="31.5">
      <c r="B297" s="74" t="s">
        <v>8</v>
      </c>
      <c r="C297" s="53" t="s">
        <v>121</v>
      </c>
      <c r="D297" s="98" t="s">
        <v>114</v>
      </c>
      <c r="E297" s="77">
        <v>9</v>
      </c>
      <c r="F297" s="77">
        <v>6</v>
      </c>
      <c r="G297" s="51">
        <f t="shared" ref="G297" si="31">F297/E297*100</f>
        <v>66.666666666666657</v>
      </c>
      <c r="H297" s="35" t="s">
        <v>93</v>
      </c>
    </row>
    <row r="298" spans="2:8" ht="47.25">
      <c r="B298" s="74" t="s">
        <v>18</v>
      </c>
      <c r="C298" s="53" t="s">
        <v>122</v>
      </c>
      <c r="D298" s="98" t="s">
        <v>114</v>
      </c>
      <c r="E298" s="77">
        <v>200</v>
      </c>
      <c r="F298" s="77">
        <v>150</v>
      </c>
      <c r="G298" s="54">
        <f>F298/E298*100</f>
        <v>75</v>
      </c>
      <c r="H298" s="35" t="s">
        <v>93</v>
      </c>
    </row>
    <row r="299" spans="2:8" ht="47.25">
      <c r="B299" s="74" t="s">
        <v>21</v>
      </c>
      <c r="C299" s="53" t="s">
        <v>123</v>
      </c>
      <c r="D299" s="98" t="s">
        <v>124</v>
      </c>
      <c r="E299" s="77">
        <v>87</v>
      </c>
      <c r="F299" s="77">
        <v>63</v>
      </c>
      <c r="G299" s="54">
        <f>F299/E299*100</f>
        <v>72.41379310344827</v>
      </c>
      <c r="H299" s="35" t="s">
        <v>93</v>
      </c>
    </row>
    <row r="300" spans="2:8" s="19" customFormat="1" ht="38.25" customHeight="1">
      <c r="B300" s="73"/>
      <c r="C300" s="57" t="s">
        <v>143</v>
      </c>
      <c r="D300" s="106"/>
      <c r="E300" s="76">
        <f>E6+E15+E21+E23+E30+E51+E79+E104+E130+E164+E193+E218+E226+E235+E279+E244+E252+E261+E270+E288+E294</f>
        <v>335325</v>
      </c>
      <c r="F300" s="76">
        <f>F6+F15+F21+F23+F30+F51+F79+F104+F130+F164+F193+F218+F226+F235+F279+F244+F252+F261+F270+F288+F294</f>
        <v>245737.60000000001</v>
      </c>
      <c r="G300" s="127">
        <f>F300/E300*100</f>
        <v>73.283411615596819</v>
      </c>
      <c r="H300" s="60"/>
    </row>
    <row r="302" spans="2:8">
      <c r="E302" s="64"/>
      <c r="F302" s="64"/>
    </row>
  </sheetData>
  <mergeCells count="2">
    <mergeCell ref="B1:H2"/>
    <mergeCell ref="J220:J225"/>
  </mergeCells>
  <pageMargins left="0.19685039370078741" right="0.11811023622047245" top="0.15748031496062992" bottom="0.19685039370078741" header="0.31496062992125984" footer="0.31496062992125984"/>
  <pageSetup paperSize="9" scale="51" fitToHeight="1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72"/>
  <sheetViews>
    <sheetView topLeftCell="A358" zoomScale="90" zoomScaleNormal="90" workbookViewId="0">
      <selection activeCell="J330" sqref="J330"/>
    </sheetView>
  </sheetViews>
  <sheetFormatPr defaultColWidth="8" defaultRowHeight="15.75"/>
  <cols>
    <col min="1" max="1" width="3" style="20" customWidth="1"/>
    <col min="2" max="2" width="7" style="75" customWidth="1"/>
    <col min="3" max="3" width="82.85546875" style="20" customWidth="1"/>
    <col min="4" max="4" width="22.42578125" style="107" customWidth="1"/>
    <col min="5" max="5" width="16.5703125" style="20" customWidth="1"/>
    <col min="6" max="6" width="17.85546875" style="20" customWidth="1"/>
    <col min="7" max="7" width="15.140625" style="21" customWidth="1"/>
    <col min="8" max="8" width="35.5703125" style="22" customWidth="1"/>
    <col min="9" max="9" width="16.28515625" style="20" customWidth="1"/>
    <col min="10" max="10" width="28.28515625" style="20" customWidth="1"/>
    <col min="11" max="16384" width="8" style="20"/>
  </cols>
  <sheetData>
    <row r="1" spans="2:8" s="19" customFormat="1" ht="15.75" customHeight="1">
      <c r="B1" s="830" t="s">
        <v>198</v>
      </c>
      <c r="C1" s="830"/>
      <c r="D1" s="830"/>
      <c r="E1" s="830"/>
      <c r="F1" s="830"/>
      <c r="G1" s="830"/>
      <c r="H1" s="830"/>
    </row>
    <row r="2" spans="2:8" s="19" customFormat="1" ht="16.5" customHeight="1">
      <c r="B2" s="830"/>
      <c r="C2" s="830"/>
      <c r="D2" s="830"/>
      <c r="E2" s="830"/>
      <c r="F2" s="830"/>
      <c r="G2" s="830"/>
      <c r="H2" s="830"/>
    </row>
    <row r="4" spans="2:8" ht="63">
      <c r="B4" s="70" t="s">
        <v>0</v>
      </c>
      <c r="C4" s="23" t="s">
        <v>1</v>
      </c>
      <c r="D4" s="122" t="s">
        <v>2</v>
      </c>
      <c r="E4" s="23" t="s">
        <v>41</v>
      </c>
      <c r="F4" s="24" t="s">
        <v>242</v>
      </c>
      <c r="G4" s="25" t="s">
        <v>33</v>
      </c>
      <c r="H4" s="26" t="s">
        <v>3</v>
      </c>
    </row>
    <row r="5" spans="2:8">
      <c r="B5" s="71">
        <v>1</v>
      </c>
      <c r="C5" s="27">
        <v>2</v>
      </c>
      <c r="D5" s="99">
        <v>3</v>
      </c>
      <c r="E5" s="28">
        <v>4</v>
      </c>
      <c r="F5" s="28">
        <v>5</v>
      </c>
      <c r="G5" s="28">
        <v>6</v>
      </c>
      <c r="H5" s="29">
        <v>7</v>
      </c>
    </row>
    <row r="6" spans="2:8" s="11" customFormat="1">
      <c r="B6" s="72" t="s">
        <v>4</v>
      </c>
      <c r="C6" s="13" t="s">
        <v>152</v>
      </c>
      <c r="D6" s="100"/>
      <c r="E6" s="14">
        <f>E7+E14</f>
        <v>175365</v>
      </c>
      <c r="F6" s="14">
        <f>F7+F14</f>
        <v>175365</v>
      </c>
      <c r="G6" s="15">
        <f t="shared" ref="G6:G20" si="0">F6/E6*100</f>
        <v>100</v>
      </c>
      <c r="H6" s="89"/>
    </row>
    <row r="7" spans="2:8" ht="31.5">
      <c r="B7" s="1" t="s">
        <v>4</v>
      </c>
      <c r="C7" s="2" t="s">
        <v>153</v>
      </c>
      <c r="D7" s="94" t="s">
        <v>5</v>
      </c>
      <c r="E7" s="4">
        <f>SUM(E8:E13)</f>
        <v>175155</v>
      </c>
      <c r="F7" s="4">
        <f>SUM(F8:F13)</f>
        <v>175155</v>
      </c>
      <c r="G7" s="9">
        <f t="shared" si="0"/>
        <v>100</v>
      </c>
      <c r="H7" s="113"/>
    </row>
    <row r="8" spans="2:8">
      <c r="B8" s="5" t="s">
        <v>26</v>
      </c>
      <c r="C8" s="6" t="s">
        <v>154</v>
      </c>
      <c r="D8" s="94" t="s">
        <v>5</v>
      </c>
      <c r="E8" s="7">
        <f>'Ларисе 2021 год'!E10</f>
        <v>22827</v>
      </c>
      <c r="F8" s="7">
        <f>'Ларисе 2021 год'!F10</f>
        <v>22827</v>
      </c>
      <c r="G8" s="9">
        <f t="shared" si="0"/>
        <v>100</v>
      </c>
      <c r="H8" s="8"/>
    </row>
    <row r="9" spans="2:8">
      <c r="B9" s="5" t="s">
        <v>27</v>
      </c>
      <c r="C9" s="6" t="s">
        <v>155</v>
      </c>
      <c r="D9" s="94" t="s">
        <v>5</v>
      </c>
      <c r="E9" s="7">
        <f>'Ларисе 2021 год'!E11</f>
        <v>21569</v>
      </c>
      <c r="F9" s="7">
        <f>'Ларисе 2021 год'!F11</f>
        <v>21569</v>
      </c>
      <c r="G9" s="10">
        <f t="shared" si="0"/>
        <v>100</v>
      </c>
      <c r="H9" s="8"/>
    </row>
    <row r="10" spans="2:8">
      <c r="B10" s="5" t="s">
        <v>28</v>
      </c>
      <c r="C10" s="6" t="s">
        <v>156</v>
      </c>
      <c r="D10" s="94" t="s">
        <v>5</v>
      </c>
      <c r="E10" s="7">
        <f>'Ларисе 2021 год'!E12</f>
        <v>11612</v>
      </c>
      <c r="F10" s="7">
        <f>'Ларисе 2021 год'!F12</f>
        <v>11612</v>
      </c>
      <c r="G10" s="10">
        <f t="shared" si="0"/>
        <v>100</v>
      </c>
      <c r="H10" s="8"/>
    </row>
    <row r="11" spans="2:8">
      <c r="B11" s="5" t="s">
        <v>29</v>
      </c>
      <c r="C11" s="6" t="s">
        <v>157</v>
      </c>
      <c r="D11" s="94" t="s">
        <v>5</v>
      </c>
      <c r="E11" s="7">
        <f>'Ларисе 2021 год'!E13</f>
        <v>5989</v>
      </c>
      <c r="F11" s="7">
        <f>'Ларисе 2021 год'!F13</f>
        <v>5989</v>
      </c>
      <c r="G11" s="10">
        <f t="shared" si="0"/>
        <v>100</v>
      </c>
      <c r="H11" s="8"/>
    </row>
    <row r="12" spans="2:8">
      <c r="B12" s="5" t="s">
        <v>30</v>
      </c>
      <c r="C12" s="6" t="s">
        <v>158</v>
      </c>
      <c r="D12" s="94" t="s">
        <v>5</v>
      </c>
      <c r="E12" s="7">
        <f>'Ларисе 2021 год'!E14</f>
        <v>48429</v>
      </c>
      <c r="F12" s="7">
        <f>'Ларисе 2021 год'!F14</f>
        <v>48429</v>
      </c>
      <c r="G12" s="10">
        <f t="shared" si="0"/>
        <v>100</v>
      </c>
      <c r="H12" s="114"/>
    </row>
    <row r="13" spans="2:8">
      <c r="B13" s="5" t="s">
        <v>32</v>
      </c>
      <c r="C13" s="6" t="s">
        <v>159</v>
      </c>
      <c r="D13" s="94" t="s">
        <v>5</v>
      </c>
      <c r="E13" s="7">
        <f>'Ларисе 2021 год'!E15</f>
        <v>64729</v>
      </c>
      <c r="F13" s="7">
        <f>'Ларисе 2021 год'!F15</f>
        <v>64729</v>
      </c>
      <c r="G13" s="116">
        <f t="shared" si="0"/>
        <v>100</v>
      </c>
      <c r="H13" s="8"/>
    </row>
    <row r="14" spans="2:8">
      <c r="B14" s="1" t="s">
        <v>6</v>
      </c>
      <c r="C14" s="2" t="s">
        <v>31</v>
      </c>
      <c r="D14" s="94" t="s">
        <v>9</v>
      </c>
      <c r="E14" s="117">
        <v>210</v>
      </c>
      <c r="F14" s="117">
        <v>210</v>
      </c>
      <c r="G14" s="9">
        <f t="shared" si="0"/>
        <v>100</v>
      </c>
      <c r="H14" s="8"/>
    </row>
    <row r="15" spans="2:8" s="11" customFormat="1">
      <c r="B15" s="109" t="s">
        <v>6</v>
      </c>
      <c r="C15" s="90" t="s">
        <v>160</v>
      </c>
      <c r="D15" s="101"/>
      <c r="E15" s="91">
        <f>E16+E17+E18+E19+E20</f>
        <v>37668</v>
      </c>
      <c r="F15" s="91">
        <f>F16+F17+F18+F19+F20</f>
        <v>39926.5</v>
      </c>
      <c r="G15" s="92">
        <f t="shared" si="0"/>
        <v>105.99580545821388</v>
      </c>
      <c r="H15" s="93"/>
    </row>
    <row r="16" spans="2:8" s="11" customFormat="1">
      <c r="B16" s="79" t="s">
        <v>4</v>
      </c>
      <c r="C16" s="80" t="s">
        <v>161</v>
      </c>
      <c r="D16" s="108" t="s">
        <v>162</v>
      </c>
      <c r="E16" s="118">
        <v>15</v>
      </c>
      <c r="F16" s="118">
        <v>40</v>
      </c>
      <c r="G16" s="81">
        <f t="shared" si="0"/>
        <v>266.66666666666663</v>
      </c>
      <c r="H16" s="126"/>
    </row>
    <row r="17" spans="2:8" s="11" customFormat="1" ht="31.5">
      <c r="B17" s="82" t="s">
        <v>6</v>
      </c>
      <c r="C17" s="83" t="s">
        <v>164</v>
      </c>
      <c r="D17" s="108" t="s">
        <v>165</v>
      </c>
      <c r="E17" s="118">
        <v>37600</v>
      </c>
      <c r="F17" s="118">
        <v>39812</v>
      </c>
      <c r="G17" s="81">
        <f t="shared" si="0"/>
        <v>105.88297872340426</v>
      </c>
      <c r="H17" s="126"/>
    </row>
    <row r="18" spans="2:8" s="11" customFormat="1" ht="31.5">
      <c r="B18" s="79" t="s">
        <v>8</v>
      </c>
      <c r="C18" s="84" t="s">
        <v>166</v>
      </c>
      <c r="D18" s="108" t="s">
        <v>167</v>
      </c>
      <c r="E18" s="118">
        <v>23</v>
      </c>
      <c r="F18" s="118">
        <v>24.5</v>
      </c>
      <c r="G18" s="81">
        <f t="shared" si="0"/>
        <v>106.5217391304348</v>
      </c>
      <c r="H18" s="126"/>
    </row>
    <row r="19" spans="2:8" s="11" customFormat="1" ht="47.25">
      <c r="B19" s="79" t="s">
        <v>18</v>
      </c>
      <c r="C19" s="84" t="s">
        <v>168</v>
      </c>
      <c r="D19" s="108" t="s">
        <v>185</v>
      </c>
      <c r="E19" s="118">
        <v>20</v>
      </c>
      <c r="F19" s="118">
        <v>22</v>
      </c>
      <c r="G19" s="81">
        <f t="shared" si="0"/>
        <v>110.00000000000001</v>
      </c>
      <c r="H19" s="126"/>
    </row>
    <row r="20" spans="2:8" s="11" customFormat="1" ht="53.25" customHeight="1">
      <c r="B20" s="79" t="s">
        <v>21</v>
      </c>
      <c r="C20" s="84" t="s">
        <v>168</v>
      </c>
      <c r="D20" s="108" t="s">
        <v>186</v>
      </c>
      <c r="E20" s="118">
        <v>10</v>
      </c>
      <c r="F20" s="118">
        <v>28</v>
      </c>
      <c r="G20" s="81">
        <f t="shared" si="0"/>
        <v>280</v>
      </c>
      <c r="H20" s="126"/>
    </row>
    <row r="21" spans="2:8" s="11" customFormat="1">
      <c r="B21" s="72" t="s">
        <v>8</v>
      </c>
      <c r="C21" s="13" t="s">
        <v>169</v>
      </c>
      <c r="D21" s="102"/>
      <c r="E21" s="87">
        <f>E22</f>
        <v>59160</v>
      </c>
      <c r="F21" s="87">
        <f>F22</f>
        <v>59280</v>
      </c>
      <c r="G21" s="15">
        <f>F21/E21*100</f>
        <v>100.2028397565923</v>
      </c>
      <c r="H21" s="88"/>
    </row>
    <row r="22" spans="2:8" s="11" customFormat="1" ht="26.25">
      <c r="B22" s="79" t="s">
        <v>4</v>
      </c>
      <c r="C22" s="85" t="s">
        <v>170</v>
      </c>
      <c r="D22" s="108" t="s">
        <v>171</v>
      </c>
      <c r="E22" s="120">
        <f>'Ларисе 2021 год'!E56</f>
        <v>59160</v>
      </c>
      <c r="F22" s="120">
        <f>'Ларисе 2021 год'!F56</f>
        <v>59280</v>
      </c>
      <c r="G22" s="86">
        <f t="shared" ref="G22:G28" si="1">F22/E22*100</f>
        <v>100.2028397565923</v>
      </c>
      <c r="H22" s="436"/>
    </row>
    <row r="23" spans="2:8" s="19" customFormat="1">
      <c r="B23" s="72" t="s">
        <v>18</v>
      </c>
      <c r="C23" s="13" t="s">
        <v>34</v>
      </c>
      <c r="D23" s="128"/>
      <c r="E23" s="129">
        <f>E24</f>
        <v>35346</v>
      </c>
      <c r="F23" s="129">
        <f>F24</f>
        <v>35346</v>
      </c>
      <c r="G23" s="130">
        <f t="shared" si="1"/>
        <v>100</v>
      </c>
      <c r="H23" s="56"/>
    </row>
    <row r="24" spans="2:8" ht="31.5">
      <c r="B24" s="1" t="s">
        <v>4</v>
      </c>
      <c r="C24" s="2" t="s">
        <v>10</v>
      </c>
      <c r="D24" s="131"/>
      <c r="E24" s="132">
        <f>SUM(E25:E29)</f>
        <v>35346</v>
      </c>
      <c r="F24" s="132">
        <f>SUM(F25:F29)</f>
        <v>35346</v>
      </c>
      <c r="G24" s="133">
        <f t="shared" si="1"/>
        <v>100</v>
      </c>
      <c r="H24" s="8"/>
    </row>
    <row r="25" spans="2:8">
      <c r="B25" s="5" t="s">
        <v>26</v>
      </c>
      <c r="C25" s="6" t="s">
        <v>11</v>
      </c>
      <c r="D25" s="131" t="s">
        <v>5</v>
      </c>
      <c r="E25" s="134">
        <v>1278</v>
      </c>
      <c r="F25" s="134">
        <v>1278</v>
      </c>
      <c r="G25" s="135">
        <f t="shared" si="1"/>
        <v>100</v>
      </c>
      <c r="H25" s="17"/>
    </row>
    <row r="26" spans="2:8">
      <c r="B26" s="5" t="s">
        <v>27</v>
      </c>
      <c r="C26" s="6" t="s">
        <v>13</v>
      </c>
      <c r="D26" s="131" t="s">
        <v>5</v>
      </c>
      <c r="E26" s="134">
        <v>5337</v>
      </c>
      <c r="F26" s="134">
        <v>5337</v>
      </c>
      <c r="G26" s="135">
        <f t="shared" si="1"/>
        <v>100</v>
      </c>
      <c r="H26" s="8"/>
    </row>
    <row r="27" spans="2:8">
      <c r="B27" s="5" t="s">
        <v>28</v>
      </c>
      <c r="C27" s="6" t="s">
        <v>15</v>
      </c>
      <c r="D27" s="131" t="s">
        <v>5</v>
      </c>
      <c r="E27" s="134">
        <v>8769</v>
      </c>
      <c r="F27" s="134">
        <v>8769</v>
      </c>
      <c r="G27" s="135">
        <f t="shared" si="1"/>
        <v>100</v>
      </c>
      <c r="H27" s="17"/>
    </row>
    <row r="28" spans="2:8">
      <c r="B28" s="5" t="s">
        <v>29</v>
      </c>
      <c r="C28" s="6" t="s">
        <v>17</v>
      </c>
      <c r="D28" s="131" t="s">
        <v>5</v>
      </c>
      <c r="E28" s="134">
        <v>12642</v>
      </c>
      <c r="F28" s="134">
        <v>12642</v>
      </c>
      <c r="G28" s="135">
        <f t="shared" si="1"/>
        <v>100</v>
      </c>
      <c r="H28" s="8"/>
    </row>
    <row r="29" spans="2:8">
      <c r="B29" s="5" t="s">
        <v>30</v>
      </c>
      <c r="C29" s="6" t="s">
        <v>23</v>
      </c>
      <c r="D29" s="131" t="s">
        <v>5</v>
      </c>
      <c r="E29" s="134">
        <v>7320</v>
      </c>
      <c r="F29" s="134">
        <v>7320</v>
      </c>
      <c r="G29" s="135">
        <f>F29/E29*100</f>
        <v>100</v>
      </c>
      <c r="H29" s="8"/>
    </row>
    <row r="30" spans="2:8" s="19" customFormat="1">
      <c r="B30" s="72" t="s">
        <v>145</v>
      </c>
      <c r="C30" s="13" t="s">
        <v>39</v>
      </c>
      <c r="D30" s="128"/>
      <c r="E30" s="129">
        <f>E31+E40+E46+E47+E48+E49+E50+E51</f>
        <v>1902</v>
      </c>
      <c r="F30" s="129">
        <f>F31+F40+F46+F47+F48+F49+F50+F51</f>
        <v>2143</v>
      </c>
      <c r="G30" s="130">
        <f t="shared" ref="G30:G31" si="2">F30/E30*100</f>
        <v>112.67087276551</v>
      </c>
      <c r="H30" s="56"/>
    </row>
    <row r="31" spans="2:8">
      <c r="B31" s="1" t="s">
        <v>4</v>
      </c>
      <c r="C31" s="2" t="s">
        <v>42</v>
      </c>
      <c r="D31" s="131" t="s">
        <v>9</v>
      </c>
      <c r="E31" s="132">
        <f>SUM(E32:E39)</f>
        <v>750</v>
      </c>
      <c r="F31" s="132">
        <f>SUM(F32:F39)</f>
        <v>921</v>
      </c>
      <c r="G31" s="133">
        <f t="shared" si="2"/>
        <v>122.8</v>
      </c>
      <c r="H31" s="8"/>
    </row>
    <row r="32" spans="2:8">
      <c r="B32" s="5" t="s">
        <v>26</v>
      </c>
      <c r="C32" s="6" t="s">
        <v>43</v>
      </c>
      <c r="D32" s="131" t="s">
        <v>44</v>
      </c>
      <c r="E32" s="134">
        <f>167+42</f>
        <v>209</v>
      </c>
      <c r="F32" s="134">
        <f>219+49</f>
        <v>268</v>
      </c>
      <c r="G32" s="135">
        <f>F32/E32*100</f>
        <v>128.22966507177034</v>
      </c>
      <c r="H32" s="8"/>
    </row>
    <row r="33" spans="2:8">
      <c r="B33" s="5" t="s">
        <v>27</v>
      </c>
      <c r="C33" s="6" t="s">
        <v>45</v>
      </c>
      <c r="D33" s="131" t="s">
        <v>44</v>
      </c>
      <c r="E33" s="134">
        <f>140+72</f>
        <v>212</v>
      </c>
      <c r="F33" s="134">
        <f>150+89</f>
        <v>239</v>
      </c>
      <c r="G33" s="135">
        <f>F33/E33*100</f>
        <v>112.73584905660377</v>
      </c>
      <c r="H33" s="8"/>
    </row>
    <row r="34" spans="2:8">
      <c r="B34" s="5" t="s">
        <v>28</v>
      </c>
      <c r="C34" s="6" t="s">
        <v>46</v>
      </c>
      <c r="D34" s="131" t="s">
        <v>44</v>
      </c>
      <c r="E34" s="134">
        <f>32+48</f>
        <v>80</v>
      </c>
      <c r="F34" s="134">
        <f>39+61</f>
        <v>100</v>
      </c>
      <c r="G34" s="135">
        <f>F34/E34*100</f>
        <v>125</v>
      </c>
      <c r="H34" s="18"/>
    </row>
    <row r="35" spans="2:8">
      <c r="B35" s="5" t="s">
        <v>29</v>
      </c>
      <c r="C35" s="6" t="s">
        <v>48</v>
      </c>
      <c r="D35" s="131" t="s">
        <v>44</v>
      </c>
      <c r="E35" s="134">
        <f>80+12</f>
        <v>92</v>
      </c>
      <c r="F35" s="134">
        <f>80+16</f>
        <v>96</v>
      </c>
      <c r="G35" s="135">
        <f t="shared" ref="G35:G40" si="3">F35/E35*100</f>
        <v>104.34782608695652</v>
      </c>
      <c r="H35" s="18"/>
    </row>
    <row r="36" spans="2:8">
      <c r="B36" s="5" t="s">
        <v>30</v>
      </c>
      <c r="C36" s="6" t="s">
        <v>49</v>
      </c>
      <c r="D36" s="131" t="s">
        <v>44</v>
      </c>
      <c r="E36" s="134">
        <f>20+27</f>
        <v>47</v>
      </c>
      <c r="F36" s="134">
        <f>32+27</f>
        <v>59</v>
      </c>
      <c r="G36" s="135">
        <f t="shared" si="3"/>
        <v>125.53191489361701</v>
      </c>
      <c r="H36" s="18"/>
    </row>
    <row r="37" spans="2:8">
      <c r="B37" s="5" t="s">
        <v>32</v>
      </c>
      <c r="C37" s="6" t="s">
        <v>50</v>
      </c>
      <c r="D37" s="131" t="s">
        <v>44</v>
      </c>
      <c r="E37" s="134">
        <f>42+30</f>
        <v>72</v>
      </c>
      <c r="F37" s="134">
        <f>76+41</f>
        <v>117</v>
      </c>
      <c r="G37" s="135">
        <f t="shared" si="3"/>
        <v>162.5</v>
      </c>
      <c r="H37" s="18"/>
    </row>
    <row r="38" spans="2:8">
      <c r="B38" s="5" t="s">
        <v>47</v>
      </c>
      <c r="C38" s="6" t="s">
        <v>51</v>
      </c>
      <c r="D38" s="131" t="s">
        <v>44</v>
      </c>
      <c r="E38" s="134">
        <v>28</v>
      </c>
      <c r="F38" s="134">
        <v>30</v>
      </c>
      <c r="G38" s="135">
        <f t="shared" si="3"/>
        <v>107.14285714285714</v>
      </c>
      <c r="H38" s="18"/>
    </row>
    <row r="39" spans="2:8">
      <c r="B39" s="5" t="s">
        <v>189</v>
      </c>
      <c r="C39" s="6" t="s">
        <v>190</v>
      </c>
      <c r="D39" s="131" t="s">
        <v>44</v>
      </c>
      <c r="E39" s="134">
        <v>10</v>
      </c>
      <c r="F39" s="134">
        <v>12</v>
      </c>
      <c r="G39" s="135">
        <f t="shared" si="3"/>
        <v>120</v>
      </c>
      <c r="H39" s="18"/>
    </row>
    <row r="40" spans="2:8">
      <c r="B40" s="1" t="s">
        <v>6</v>
      </c>
      <c r="C40" s="2" t="s">
        <v>52</v>
      </c>
      <c r="D40" s="131" t="s">
        <v>9</v>
      </c>
      <c r="E40" s="132">
        <f>SUM(E41:E45)</f>
        <v>230</v>
      </c>
      <c r="F40" s="132">
        <f>SUM(F41:F45)</f>
        <v>297</v>
      </c>
      <c r="G40" s="133">
        <f t="shared" si="3"/>
        <v>129.13043478260872</v>
      </c>
      <c r="H40" s="8"/>
    </row>
    <row r="41" spans="2:8">
      <c r="B41" s="5" t="s">
        <v>7</v>
      </c>
      <c r="C41" s="6" t="s">
        <v>53</v>
      </c>
      <c r="D41" s="131" t="s">
        <v>44</v>
      </c>
      <c r="E41" s="134">
        <f>100+42+4</f>
        <v>146</v>
      </c>
      <c r="F41" s="134">
        <f>112+66+5</f>
        <v>183</v>
      </c>
      <c r="G41" s="135">
        <f>F41/E41*100</f>
        <v>125.34246575342465</v>
      </c>
      <c r="H41" s="8"/>
    </row>
    <row r="42" spans="2:8">
      <c r="B42" s="5" t="s">
        <v>12</v>
      </c>
      <c r="C42" s="6" t="s">
        <v>54</v>
      </c>
      <c r="D42" s="131" t="s">
        <v>44</v>
      </c>
      <c r="E42" s="134">
        <f>10+14</f>
        <v>24</v>
      </c>
      <c r="F42" s="134">
        <f>11+20</f>
        <v>31</v>
      </c>
      <c r="G42" s="135">
        <f>F42/E42*100</f>
        <v>129.16666666666669</v>
      </c>
      <c r="H42" s="8"/>
    </row>
    <row r="43" spans="2:8">
      <c r="B43" s="5" t="s">
        <v>14</v>
      </c>
      <c r="C43" s="6" t="s">
        <v>55</v>
      </c>
      <c r="D43" s="131" t="s">
        <v>44</v>
      </c>
      <c r="E43" s="134">
        <f>26+6</f>
        <v>32</v>
      </c>
      <c r="F43" s="134">
        <f>34+6</f>
        <v>40</v>
      </c>
      <c r="G43" s="135">
        <f>F43/E43*100</f>
        <v>125</v>
      </c>
      <c r="H43" s="18"/>
    </row>
    <row r="44" spans="2:8">
      <c r="B44" s="5" t="s">
        <v>16</v>
      </c>
      <c r="C44" s="6" t="s">
        <v>56</v>
      </c>
      <c r="D44" s="131" t="s">
        <v>44</v>
      </c>
      <c r="E44" s="134">
        <v>24</v>
      </c>
      <c r="F44" s="134">
        <v>39</v>
      </c>
      <c r="G44" s="135">
        <f t="shared" ref="G44:G99" si="4">F44/E44*100</f>
        <v>162.5</v>
      </c>
      <c r="H44" s="18"/>
    </row>
    <row r="45" spans="2:8">
      <c r="B45" s="5" t="s">
        <v>191</v>
      </c>
      <c r="C45" s="6" t="s">
        <v>199</v>
      </c>
      <c r="D45" s="131" t="s">
        <v>44</v>
      </c>
      <c r="E45" s="134">
        <v>4</v>
      </c>
      <c r="F45" s="134">
        <v>4</v>
      </c>
      <c r="G45" s="135">
        <f t="shared" si="4"/>
        <v>100</v>
      </c>
      <c r="H45" s="18"/>
    </row>
    <row r="46" spans="2:8">
      <c r="B46" s="1" t="s">
        <v>8</v>
      </c>
      <c r="C46" s="2" t="s">
        <v>31</v>
      </c>
      <c r="D46" s="131" t="s">
        <v>9</v>
      </c>
      <c r="E46" s="132">
        <v>515</v>
      </c>
      <c r="F46" s="132">
        <v>515</v>
      </c>
      <c r="G46" s="133">
        <f t="shared" si="4"/>
        <v>100</v>
      </c>
      <c r="H46" s="18"/>
    </row>
    <row r="47" spans="2:8" ht="31.5">
      <c r="B47" s="1" t="s">
        <v>18</v>
      </c>
      <c r="C47" s="2" t="s">
        <v>19</v>
      </c>
      <c r="D47" s="136" t="s">
        <v>20</v>
      </c>
      <c r="E47" s="132">
        <v>54</v>
      </c>
      <c r="F47" s="132">
        <v>54</v>
      </c>
      <c r="G47" s="133">
        <f t="shared" si="4"/>
        <v>100</v>
      </c>
      <c r="H47" s="8"/>
    </row>
    <row r="48" spans="2:8" ht="31.5">
      <c r="B48" s="1" t="s">
        <v>21</v>
      </c>
      <c r="C48" s="2" t="s">
        <v>22</v>
      </c>
      <c r="D48" s="136" t="s">
        <v>25</v>
      </c>
      <c r="E48" s="132">
        <v>9</v>
      </c>
      <c r="F48" s="132">
        <v>9</v>
      </c>
      <c r="G48" s="133">
        <f t="shared" si="4"/>
        <v>100</v>
      </c>
      <c r="H48" s="8"/>
    </row>
    <row r="49" spans="1:8" ht="31.5">
      <c r="B49" s="1" t="s">
        <v>24</v>
      </c>
      <c r="C49" s="2" t="s">
        <v>40</v>
      </c>
      <c r="D49" s="136" t="s">
        <v>25</v>
      </c>
      <c r="E49" s="132">
        <v>231</v>
      </c>
      <c r="F49" s="132">
        <v>231</v>
      </c>
      <c r="G49" s="133">
        <f t="shared" si="4"/>
        <v>100</v>
      </c>
      <c r="H49" s="8"/>
    </row>
    <row r="50" spans="1:8" ht="63">
      <c r="B50" s="1" t="s">
        <v>35</v>
      </c>
      <c r="C50" s="2" t="s">
        <v>37</v>
      </c>
      <c r="D50" s="136" t="s">
        <v>20</v>
      </c>
      <c r="E50" s="132">
        <v>3</v>
      </c>
      <c r="F50" s="132">
        <v>6</v>
      </c>
      <c r="G50" s="133">
        <f t="shared" si="4"/>
        <v>200</v>
      </c>
      <c r="H50" s="8"/>
    </row>
    <row r="51" spans="1:8" ht="47.25">
      <c r="B51" s="1" t="s">
        <v>57</v>
      </c>
      <c r="C51" s="2" t="s">
        <v>38</v>
      </c>
      <c r="D51" s="136" t="s">
        <v>36</v>
      </c>
      <c r="E51" s="132">
        <v>110</v>
      </c>
      <c r="F51" s="132">
        <v>110</v>
      </c>
      <c r="G51" s="133">
        <f t="shared" si="4"/>
        <v>100</v>
      </c>
      <c r="H51" s="8"/>
    </row>
    <row r="52" spans="1:8" s="19" customFormat="1">
      <c r="A52" s="30"/>
      <c r="B52" s="139" t="s">
        <v>238</v>
      </c>
      <c r="C52" s="140" t="s">
        <v>60</v>
      </c>
      <c r="D52" s="628"/>
      <c r="E52" s="141">
        <f>E53+E58+E64+E71+E92+E70</f>
        <v>2486</v>
      </c>
      <c r="F52" s="141">
        <f>F53+F58+F64+F71+F92+F70</f>
        <v>2486</v>
      </c>
      <c r="G52" s="142">
        <f t="shared" si="4"/>
        <v>100</v>
      </c>
      <c r="H52" s="629"/>
    </row>
    <row r="53" spans="1:8" ht="31.5">
      <c r="A53" s="625"/>
      <c r="B53" s="203" t="s">
        <v>4</v>
      </c>
      <c r="C53" s="204" t="s">
        <v>125</v>
      </c>
      <c r="D53" s="222" t="s">
        <v>61</v>
      </c>
      <c r="E53" s="228">
        <f>SUM(E54:E57)</f>
        <v>503</v>
      </c>
      <c r="F53" s="228">
        <f>SUM(F54:F57)</f>
        <v>503</v>
      </c>
      <c r="G53" s="223">
        <f t="shared" si="4"/>
        <v>100</v>
      </c>
      <c r="H53" s="224"/>
    </row>
    <row r="54" spans="1:8" ht="47.25">
      <c r="A54" s="625"/>
      <c r="B54" s="5" t="s">
        <v>27</v>
      </c>
      <c r="C54" s="6" t="s">
        <v>126</v>
      </c>
      <c r="D54" s="136" t="s">
        <v>61</v>
      </c>
      <c r="E54" s="31">
        <v>11</v>
      </c>
      <c r="F54" s="31">
        <v>11</v>
      </c>
      <c r="G54" s="211">
        <f t="shared" si="4"/>
        <v>100</v>
      </c>
      <c r="H54" s="33"/>
    </row>
    <row r="55" spans="1:8" ht="63">
      <c r="A55" s="625"/>
      <c r="B55" s="5" t="s">
        <v>28</v>
      </c>
      <c r="C55" s="6" t="s">
        <v>127</v>
      </c>
      <c r="D55" s="136" t="s">
        <v>61</v>
      </c>
      <c r="E55" s="34"/>
      <c r="F55" s="34"/>
      <c r="G55" s="211" t="e">
        <f t="shared" si="4"/>
        <v>#DIV/0!</v>
      </c>
      <c r="H55" s="33"/>
    </row>
    <row r="56" spans="1:8">
      <c r="A56" s="625"/>
      <c r="B56" s="5" t="s">
        <v>26</v>
      </c>
      <c r="C56" s="6" t="s">
        <v>128</v>
      </c>
      <c r="D56" s="136" t="s">
        <v>61</v>
      </c>
      <c r="E56" s="31">
        <v>491</v>
      </c>
      <c r="F56" s="31">
        <v>491</v>
      </c>
      <c r="G56" s="211">
        <f>F56/E56*100</f>
        <v>100</v>
      </c>
      <c r="H56" s="35"/>
    </row>
    <row r="57" spans="1:8">
      <c r="A57" s="625"/>
      <c r="B57" s="5" t="s">
        <v>32</v>
      </c>
      <c r="C57" s="6" t="s">
        <v>129</v>
      </c>
      <c r="D57" s="136" t="s">
        <v>61</v>
      </c>
      <c r="E57" s="31">
        <v>1</v>
      </c>
      <c r="F57" s="31">
        <v>1</v>
      </c>
      <c r="G57" s="211">
        <f t="shared" si="4"/>
        <v>100</v>
      </c>
      <c r="H57" s="33"/>
    </row>
    <row r="58" spans="1:8" ht="31.5">
      <c r="A58" s="625"/>
      <c r="B58" s="203" t="s">
        <v>6</v>
      </c>
      <c r="C58" s="204" t="s">
        <v>130</v>
      </c>
      <c r="D58" s="212" t="s">
        <v>61</v>
      </c>
      <c r="E58" s="221">
        <f>SUM(E59:E63)</f>
        <v>529</v>
      </c>
      <c r="F58" s="221">
        <f>SUM(F59:F63)</f>
        <v>529</v>
      </c>
      <c r="G58" s="211">
        <f t="shared" si="4"/>
        <v>100</v>
      </c>
      <c r="H58" s="213"/>
    </row>
    <row r="59" spans="1:8" ht="47.25">
      <c r="A59" s="625"/>
      <c r="B59" s="5" t="s">
        <v>12</v>
      </c>
      <c r="C59" s="6" t="s">
        <v>131</v>
      </c>
      <c r="D59" s="136" t="s">
        <v>61</v>
      </c>
      <c r="E59" s="31">
        <v>10</v>
      </c>
      <c r="F59" s="31">
        <v>10</v>
      </c>
      <c r="G59" s="211">
        <f>F59/E59*100</f>
        <v>100</v>
      </c>
      <c r="H59" s="36"/>
    </row>
    <row r="60" spans="1:8" ht="32.25" customHeight="1">
      <c r="A60" s="625"/>
      <c r="B60" s="1" t="s">
        <v>14</v>
      </c>
      <c r="C60" s="6" t="s">
        <v>132</v>
      </c>
      <c r="D60" s="136" t="s">
        <v>61</v>
      </c>
      <c r="E60" s="31"/>
      <c r="F60" s="31"/>
      <c r="G60" s="214" t="e">
        <f t="shared" ref="G60" si="5">F60/E60*100</f>
        <v>#DIV/0!</v>
      </c>
      <c r="H60" s="36"/>
    </row>
    <row r="61" spans="1:8" ht="47.25">
      <c r="A61" s="625"/>
      <c r="B61" s="1" t="s">
        <v>16</v>
      </c>
      <c r="C61" s="6" t="s">
        <v>133</v>
      </c>
      <c r="D61" s="136" t="s">
        <v>61</v>
      </c>
      <c r="E61" s="31">
        <v>280</v>
      </c>
      <c r="F61" s="31">
        <v>280</v>
      </c>
      <c r="G61" s="211">
        <f>F61/E61*100</f>
        <v>100</v>
      </c>
      <c r="H61" s="36"/>
    </row>
    <row r="62" spans="1:8">
      <c r="A62" s="625"/>
      <c r="B62" s="1" t="s">
        <v>7</v>
      </c>
      <c r="C62" s="6" t="s">
        <v>134</v>
      </c>
      <c r="D62" s="136" t="s">
        <v>61</v>
      </c>
      <c r="E62" s="31">
        <v>239</v>
      </c>
      <c r="F62" s="31">
        <f>E62</f>
        <v>239</v>
      </c>
      <c r="G62" s="211">
        <f t="shared" si="4"/>
        <v>100</v>
      </c>
      <c r="H62" s="213"/>
    </row>
    <row r="63" spans="1:8" ht="31.5">
      <c r="A63" s="625"/>
      <c r="B63" s="1" t="s">
        <v>210</v>
      </c>
      <c r="C63" s="6" t="s">
        <v>135</v>
      </c>
      <c r="D63" s="136" t="s">
        <v>61</v>
      </c>
      <c r="E63" s="31">
        <v>0</v>
      </c>
      <c r="F63" s="31">
        <v>0</v>
      </c>
      <c r="G63" s="211" t="e">
        <f t="shared" si="4"/>
        <v>#DIV/0!</v>
      </c>
      <c r="H63" s="35"/>
    </row>
    <row r="64" spans="1:8" ht="31.5">
      <c r="A64" s="625"/>
      <c r="B64" s="203" t="s">
        <v>8</v>
      </c>
      <c r="C64" s="204" t="s">
        <v>136</v>
      </c>
      <c r="D64" s="205" t="s">
        <v>61</v>
      </c>
      <c r="E64" s="221">
        <f>SUM(E65:E69)</f>
        <v>121</v>
      </c>
      <c r="F64" s="221">
        <f>SUM(F65:F69)</f>
        <v>121</v>
      </c>
      <c r="G64" s="215">
        <f t="shared" si="4"/>
        <v>100</v>
      </c>
      <c r="H64" s="210"/>
    </row>
    <row r="65" spans="1:9" ht="47.25">
      <c r="A65" s="625"/>
      <c r="B65" s="5" t="s">
        <v>62</v>
      </c>
      <c r="C65" s="6" t="s">
        <v>137</v>
      </c>
      <c r="D65" s="136" t="s">
        <v>61</v>
      </c>
      <c r="E65" s="31">
        <v>0</v>
      </c>
      <c r="F65" s="31">
        <v>0</v>
      </c>
      <c r="G65" s="211" t="e">
        <f t="shared" si="4"/>
        <v>#DIV/0!</v>
      </c>
      <c r="H65" s="35"/>
    </row>
    <row r="66" spans="1:9" ht="63">
      <c r="A66" s="625"/>
      <c r="B66" s="5" t="s">
        <v>211</v>
      </c>
      <c r="C66" s="6" t="s">
        <v>138</v>
      </c>
      <c r="D66" s="136" t="s">
        <v>61</v>
      </c>
      <c r="E66" s="31"/>
      <c r="F66" s="31"/>
      <c r="G66" s="211" t="e">
        <f t="shared" si="4"/>
        <v>#DIV/0!</v>
      </c>
      <c r="H66" s="35"/>
      <c r="I66" s="64"/>
    </row>
    <row r="67" spans="1:9" ht="47.25">
      <c r="A67" s="625"/>
      <c r="B67" s="5" t="s">
        <v>63</v>
      </c>
      <c r="C67" s="6" t="s">
        <v>139</v>
      </c>
      <c r="D67" s="136" t="s">
        <v>61</v>
      </c>
      <c r="E67" s="31">
        <v>121</v>
      </c>
      <c r="F67" s="31">
        <f>E67</f>
        <v>121</v>
      </c>
      <c r="G67" s="211">
        <f>F67/E67*100</f>
        <v>100</v>
      </c>
      <c r="H67" s="35"/>
      <c r="I67" s="64"/>
    </row>
    <row r="68" spans="1:9" ht="63">
      <c r="A68" s="625"/>
      <c r="B68" s="5" t="s">
        <v>212</v>
      </c>
      <c r="C68" s="6" t="s">
        <v>140</v>
      </c>
      <c r="D68" s="136" t="s">
        <v>61</v>
      </c>
      <c r="E68" s="31"/>
      <c r="F68" s="31"/>
      <c r="G68" s="211" t="e">
        <f t="shared" ref="G68:G70" si="6">F68/E68*100</f>
        <v>#DIV/0!</v>
      </c>
      <c r="H68" s="35"/>
      <c r="I68" s="64"/>
    </row>
    <row r="69" spans="1:9">
      <c r="A69" s="625"/>
      <c r="B69" s="5" t="s">
        <v>62</v>
      </c>
      <c r="C69" s="6" t="s">
        <v>141</v>
      </c>
      <c r="D69" s="136" t="s">
        <v>61</v>
      </c>
      <c r="E69" s="31"/>
      <c r="F69" s="31"/>
      <c r="G69" s="211" t="e">
        <f t="shared" si="6"/>
        <v>#DIV/0!</v>
      </c>
      <c r="H69" s="35"/>
      <c r="I69" s="64"/>
    </row>
    <row r="70" spans="1:9" ht="63">
      <c r="A70" s="625"/>
      <c r="B70" s="5"/>
      <c r="C70" s="226" t="str">
        <f>C246</f>
        <v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v>
      </c>
      <c r="D70" s="136" t="s">
        <v>61</v>
      </c>
      <c r="E70" s="31"/>
      <c r="F70" s="31"/>
      <c r="G70" s="211" t="e">
        <f t="shared" si="6"/>
        <v>#DIV/0!</v>
      </c>
      <c r="H70" s="35"/>
    </row>
    <row r="71" spans="1:9" ht="31.5">
      <c r="A71" s="625"/>
      <c r="B71" s="216" t="s">
        <v>18</v>
      </c>
      <c r="C71" s="204" t="s">
        <v>64</v>
      </c>
      <c r="D71" s="205" t="s">
        <v>61</v>
      </c>
      <c r="E71" s="227">
        <f>E72+E76+E80+E84</f>
        <v>1063</v>
      </c>
      <c r="F71" s="227">
        <f>F72+F76+F80+F84</f>
        <v>1063</v>
      </c>
      <c r="G71" s="211">
        <f t="shared" si="4"/>
        <v>100</v>
      </c>
      <c r="H71" s="210"/>
    </row>
    <row r="72" spans="1:9" ht="31.5">
      <c r="A72" s="625"/>
      <c r="B72" s="5" t="s">
        <v>65</v>
      </c>
      <c r="C72" s="6" t="s">
        <v>66</v>
      </c>
      <c r="D72" s="136" t="s">
        <v>61</v>
      </c>
      <c r="E72" s="217">
        <f>E73+E74+E75</f>
        <v>274</v>
      </c>
      <c r="F72" s="217">
        <f>F73+F74+F75</f>
        <v>274</v>
      </c>
      <c r="G72" s="211">
        <f t="shared" si="4"/>
        <v>100</v>
      </c>
      <c r="H72" s="35" t="s">
        <v>200</v>
      </c>
    </row>
    <row r="73" spans="1:9">
      <c r="A73" s="625"/>
      <c r="B73" s="5"/>
      <c r="C73" s="37" t="s">
        <v>67</v>
      </c>
      <c r="D73" s="136" t="s">
        <v>61</v>
      </c>
      <c r="E73" s="38">
        <v>126</v>
      </c>
      <c r="F73" s="38">
        <v>126</v>
      </c>
      <c r="G73" s="211">
        <f t="shared" si="4"/>
        <v>100</v>
      </c>
      <c r="H73" s="35"/>
    </row>
    <row r="74" spans="1:9">
      <c r="A74" s="625"/>
      <c r="B74" s="5"/>
      <c r="C74" s="37" t="s">
        <v>68</v>
      </c>
      <c r="D74" s="136" t="s">
        <v>61</v>
      </c>
      <c r="E74" s="38">
        <v>128</v>
      </c>
      <c r="F74" s="38">
        <v>128</v>
      </c>
      <c r="G74" s="211">
        <f t="shared" si="4"/>
        <v>100</v>
      </c>
      <c r="H74" s="35"/>
    </row>
    <row r="75" spans="1:9">
      <c r="A75" s="625"/>
      <c r="B75" s="5"/>
      <c r="C75" s="37" t="s">
        <v>69</v>
      </c>
      <c r="D75" s="136" t="s">
        <v>61</v>
      </c>
      <c r="E75" s="38">
        <v>20</v>
      </c>
      <c r="F75" s="38">
        <v>20</v>
      </c>
      <c r="G75" s="211">
        <f t="shared" si="4"/>
        <v>100</v>
      </c>
      <c r="H75" s="35"/>
    </row>
    <row r="76" spans="1:9" ht="31.5">
      <c r="A76" s="65"/>
      <c r="B76" s="5" t="s">
        <v>70</v>
      </c>
      <c r="C76" s="6" t="s">
        <v>71</v>
      </c>
      <c r="D76" s="136" t="s">
        <v>61</v>
      </c>
      <c r="E76" s="38">
        <f>E77+E78+E79</f>
        <v>0</v>
      </c>
      <c r="F76" s="38">
        <f>F77+F78+F79</f>
        <v>0</v>
      </c>
      <c r="G76" s="211" t="e">
        <f t="shared" si="4"/>
        <v>#DIV/0!</v>
      </c>
      <c r="H76" s="39"/>
    </row>
    <row r="77" spans="1:9">
      <c r="A77" s="625"/>
      <c r="B77" s="5"/>
      <c r="C77" s="37" t="s">
        <v>67</v>
      </c>
      <c r="D77" s="136" t="s">
        <v>61</v>
      </c>
      <c r="E77" s="38">
        <v>0</v>
      </c>
      <c r="F77" s="38">
        <v>0</v>
      </c>
      <c r="G77" s="211" t="e">
        <f t="shared" si="4"/>
        <v>#DIV/0!</v>
      </c>
      <c r="H77" s="39"/>
    </row>
    <row r="78" spans="1:9">
      <c r="A78" s="625"/>
      <c r="B78" s="5"/>
      <c r="C78" s="37" t="s">
        <v>68</v>
      </c>
      <c r="D78" s="136" t="s">
        <v>61</v>
      </c>
      <c r="E78" s="38">
        <v>0</v>
      </c>
      <c r="F78" s="38">
        <v>0</v>
      </c>
      <c r="G78" s="211" t="e">
        <f t="shared" si="4"/>
        <v>#DIV/0!</v>
      </c>
      <c r="H78" s="39"/>
    </row>
    <row r="79" spans="1:9">
      <c r="A79" s="625"/>
      <c r="B79" s="5"/>
      <c r="C79" s="37" t="s">
        <v>69</v>
      </c>
      <c r="D79" s="136" t="s">
        <v>61</v>
      </c>
      <c r="E79" s="38">
        <v>0</v>
      </c>
      <c r="F79" s="38">
        <v>0</v>
      </c>
      <c r="G79" s="211" t="e">
        <f t="shared" si="4"/>
        <v>#DIV/0!</v>
      </c>
      <c r="H79" s="39"/>
    </row>
    <row r="80" spans="1:9" ht="63">
      <c r="A80" s="625"/>
      <c r="B80" s="5" t="s">
        <v>72</v>
      </c>
      <c r="C80" s="6" t="s">
        <v>73</v>
      </c>
      <c r="D80" s="136" t="s">
        <v>61</v>
      </c>
      <c r="E80" s="217">
        <f>E81+E82+E83</f>
        <v>412</v>
      </c>
      <c r="F80" s="217">
        <f>F81+F82+F83</f>
        <v>412</v>
      </c>
      <c r="G80" s="211">
        <f t="shared" si="4"/>
        <v>100</v>
      </c>
      <c r="H80" s="39" t="s">
        <v>81</v>
      </c>
    </row>
    <row r="81" spans="1:8">
      <c r="A81" s="625"/>
      <c r="B81" s="5"/>
      <c r="C81" s="37" t="s">
        <v>67</v>
      </c>
      <c r="D81" s="136" t="s">
        <v>61</v>
      </c>
      <c r="E81" s="38">
        <v>0</v>
      </c>
      <c r="F81" s="38">
        <v>0</v>
      </c>
      <c r="G81" s="211" t="e">
        <f t="shared" si="4"/>
        <v>#DIV/0!</v>
      </c>
      <c r="H81" s="39"/>
    </row>
    <row r="82" spans="1:8">
      <c r="A82" s="625"/>
      <c r="B82" s="5"/>
      <c r="C82" s="37" t="s">
        <v>68</v>
      </c>
      <c r="D82" s="136" t="s">
        <v>61</v>
      </c>
      <c r="E82" s="38">
        <v>341</v>
      </c>
      <c r="F82" s="38">
        <v>341</v>
      </c>
      <c r="G82" s="211">
        <f t="shared" si="4"/>
        <v>100</v>
      </c>
      <c r="H82" s="39"/>
    </row>
    <row r="83" spans="1:8">
      <c r="A83" s="625"/>
      <c r="B83" s="5"/>
      <c r="C83" s="37" t="s">
        <v>69</v>
      </c>
      <c r="D83" s="136" t="s">
        <v>61</v>
      </c>
      <c r="E83" s="38">
        <v>71</v>
      </c>
      <c r="F83" s="38">
        <v>71</v>
      </c>
      <c r="G83" s="211">
        <f t="shared" si="4"/>
        <v>100</v>
      </c>
      <c r="H83" s="39"/>
    </row>
    <row r="84" spans="1:8" ht="47.25">
      <c r="A84" s="625"/>
      <c r="B84" s="5" t="s">
        <v>74</v>
      </c>
      <c r="C84" s="6" t="s">
        <v>75</v>
      </c>
      <c r="D84" s="136" t="s">
        <v>61</v>
      </c>
      <c r="E84" s="217">
        <f>E85+E86+E87</f>
        <v>377</v>
      </c>
      <c r="F84" s="217">
        <f>F85+F86+F87</f>
        <v>377</v>
      </c>
      <c r="G84" s="211">
        <f t="shared" si="4"/>
        <v>100</v>
      </c>
      <c r="H84" s="39"/>
    </row>
    <row r="85" spans="1:8">
      <c r="A85" s="625"/>
      <c r="B85" s="5"/>
      <c r="C85" s="37" t="s">
        <v>67</v>
      </c>
      <c r="D85" s="136" t="s">
        <v>61</v>
      </c>
      <c r="E85" s="38">
        <v>377</v>
      </c>
      <c r="F85" s="38">
        <v>377</v>
      </c>
      <c r="G85" s="211">
        <f t="shared" si="4"/>
        <v>100</v>
      </c>
      <c r="H85" s="39"/>
    </row>
    <row r="86" spans="1:8">
      <c r="A86" s="625"/>
      <c r="B86" s="5"/>
      <c r="C86" s="37" t="s">
        <v>68</v>
      </c>
      <c r="D86" s="136" t="s">
        <v>61</v>
      </c>
      <c r="E86" s="38"/>
      <c r="F86" s="38"/>
      <c r="G86" s="211" t="e">
        <f t="shared" si="4"/>
        <v>#DIV/0!</v>
      </c>
      <c r="H86" s="39"/>
    </row>
    <row r="87" spans="1:8">
      <c r="A87" s="625"/>
      <c r="B87" s="5"/>
      <c r="C87" s="37" t="s">
        <v>69</v>
      </c>
      <c r="D87" s="136" t="s">
        <v>61</v>
      </c>
      <c r="E87" s="38"/>
      <c r="F87" s="38"/>
      <c r="G87" s="211" t="e">
        <f t="shared" si="4"/>
        <v>#DIV/0!</v>
      </c>
      <c r="H87" s="39"/>
    </row>
    <row r="88" spans="1:8" ht="47.25">
      <c r="A88" s="625"/>
      <c r="B88" s="5" t="s">
        <v>213</v>
      </c>
      <c r="C88" s="6" t="s">
        <v>84</v>
      </c>
      <c r="D88" s="136" t="s">
        <v>61</v>
      </c>
      <c r="E88" s="218">
        <f>E89+E90+E91</f>
        <v>0</v>
      </c>
      <c r="F88" s="219">
        <f>F89+F90+F91</f>
        <v>0</v>
      </c>
      <c r="G88" s="211" t="e">
        <f t="shared" si="4"/>
        <v>#DIV/0!</v>
      </c>
      <c r="H88" s="39"/>
    </row>
    <row r="89" spans="1:8">
      <c r="A89" s="625"/>
      <c r="B89" s="5"/>
      <c r="C89" s="37" t="s">
        <v>67</v>
      </c>
      <c r="D89" s="136" t="s">
        <v>61</v>
      </c>
      <c r="E89" s="31"/>
      <c r="F89" s="31"/>
      <c r="G89" s="211" t="e">
        <f t="shared" si="4"/>
        <v>#DIV/0!</v>
      </c>
      <c r="H89" s="39"/>
    </row>
    <row r="90" spans="1:8">
      <c r="A90" s="625"/>
      <c r="B90" s="5"/>
      <c r="C90" s="37" t="s">
        <v>68</v>
      </c>
      <c r="D90" s="136" t="s">
        <v>61</v>
      </c>
      <c r="E90" s="31"/>
      <c r="F90" s="31"/>
      <c r="G90" s="211" t="e">
        <f>F90/E90*100</f>
        <v>#DIV/0!</v>
      </c>
      <c r="H90" s="39"/>
    </row>
    <row r="91" spans="1:8">
      <c r="A91" s="625"/>
      <c r="B91" s="5"/>
      <c r="C91" s="37" t="s">
        <v>69</v>
      </c>
      <c r="D91" s="136" t="s">
        <v>61</v>
      </c>
      <c r="E91" s="31"/>
      <c r="F91" s="31"/>
      <c r="G91" s="211" t="e">
        <f t="shared" ref="G91" si="7">F91/E91*100</f>
        <v>#DIV/0!</v>
      </c>
      <c r="H91" s="39"/>
    </row>
    <row r="92" spans="1:8" ht="31.5">
      <c r="A92" s="625"/>
      <c r="B92" s="216" t="s">
        <v>21</v>
      </c>
      <c r="C92" s="204" t="s">
        <v>31</v>
      </c>
      <c r="D92" s="205" t="s">
        <v>76</v>
      </c>
      <c r="E92" s="227">
        <f>E93</f>
        <v>270</v>
      </c>
      <c r="F92" s="227">
        <f>F93</f>
        <v>270</v>
      </c>
      <c r="G92" s="211">
        <f t="shared" si="4"/>
        <v>100</v>
      </c>
      <c r="H92" s="210"/>
    </row>
    <row r="93" spans="1:8">
      <c r="A93" s="625"/>
      <c r="B93" s="5" t="s">
        <v>77</v>
      </c>
      <c r="C93" s="6" t="s">
        <v>142</v>
      </c>
      <c r="D93" s="136" t="s">
        <v>76</v>
      </c>
      <c r="E93" s="40">
        <v>270</v>
      </c>
      <c r="F93" s="40">
        <v>270</v>
      </c>
      <c r="G93" s="211">
        <f t="shared" si="4"/>
        <v>100</v>
      </c>
      <c r="H93" s="35"/>
    </row>
    <row r="94" spans="1:8">
      <c r="A94" s="625"/>
      <c r="B94" s="216" t="s">
        <v>24</v>
      </c>
      <c r="C94" s="204" t="s">
        <v>78</v>
      </c>
      <c r="D94" s="205" t="s">
        <v>5</v>
      </c>
      <c r="E94" s="227">
        <f>E95</f>
        <v>0</v>
      </c>
      <c r="F94" s="227">
        <f>F95</f>
        <v>0</v>
      </c>
      <c r="G94" s="211" t="e">
        <f t="shared" si="4"/>
        <v>#DIV/0!</v>
      </c>
      <c r="H94" s="210"/>
    </row>
    <row r="95" spans="1:8">
      <c r="A95" s="625"/>
      <c r="B95" s="148" t="s">
        <v>214</v>
      </c>
      <c r="C95" s="149" t="s">
        <v>79</v>
      </c>
      <c r="D95" s="150" t="s">
        <v>5</v>
      </c>
      <c r="E95" s="161"/>
      <c r="F95" s="161"/>
      <c r="G95" s="152" t="e">
        <f t="shared" si="4"/>
        <v>#DIV/0!</v>
      </c>
      <c r="H95" s="126"/>
    </row>
    <row r="96" spans="1:8">
      <c r="A96" s="625"/>
      <c r="B96" s="139" t="s">
        <v>239</v>
      </c>
      <c r="C96" s="140" t="s">
        <v>80</v>
      </c>
      <c r="D96" s="628"/>
      <c r="E96" s="141">
        <f>E97+E102+E108+E115+E136+E114</f>
        <v>1040</v>
      </c>
      <c r="F96" s="141">
        <f>F97+F102+F108+F115+F136+F114</f>
        <v>1040</v>
      </c>
      <c r="G96" s="162">
        <f t="shared" si="4"/>
        <v>100</v>
      </c>
      <c r="H96" s="629"/>
    </row>
    <row r="97" spans="1:8" ht="31.5">
      <c r="A97" s="625"/>
      <c r="B97" s="203" t="s">
        <v>4</v>
      </c>
      <c r="C97" s="204" t="s">
        <v>125</v>
      </c>
      <c r="D97" s="222" t="s">
        <v>61</v>
      </c>
      <c r="E97" s="228">
        <f>SUM(E98:E101)</f>
        <v>243</v>
      </c>
      <c r="F97" s="228">
        <f>SUM(F98:F101)</f>
        <v>243</v>
      </c>
      <c r="G97" s="223">
        <f t="shared" si="4"/>
        <v>100</v>
      </c>
      <c r="H97" s="224"/>
    </row>
    <row r="98" spans="1:8" ht="47.25">
      <c r="A98" s="625"/>
      <c r="B98" s="5" t="s">
        <v>27</v>
      </c>
      <c r="C98" s="6" t="s">
        <v>126</v>
      </c>
      <c r="D98" s="136" t="s">
        <v>61</v>
      </c>
      <c r="E98" s="31">
        <v>32</v>
      </c>
      <c r="F98" s="31">
        <f>E98</f>
        <v>32</v>
      </c>
      <c r="G98" s="211">
        <f t="shared" si="4"/>
        <v>100</v>
      </c>
      <c r="H98" s="33"/>
    </row>
    <row r="99" spans="1:8" ht="63">
      <c r="A99" s="625"/>
      <c r="B99" s="5" t="s">
        <v>28</v>
      </c>
      <c r="C99" s="6" t="s">
        <v>127</v>
      </c>
      <c r="D99" s="136" t="s">
        <v>61</v>
      </c>
      <c r="E99" s="34">
        <v>1</v>
      </c>
      <c r="F99" s="34">
        <v>1</v>
      </c>
      <c r="G99" s="211">
        <f t="shared" si="4"/>
        <v>100</v>
      </c>
      <c r="H99" s="33"/>
    </row>
    <row r="100" spans="1:8">
      <c r="A100" s="625"/>
      <c r="B100" s="5" t="s">
        <v>26</v>
      </c>
      <c r="C100" s="6" t="s">
        <v>128</v>
      </c>
      <c r="D100" s="136" t="s">
        <v>61</v>
      </c>
      <c r="E100" s="31">
        <v>210</v>
      </c>
      <c r="F100" s="31">
        <v>210</v>
      </c>
      <c r="G100" s="211">
        <f>F100/E100*100</f>
        <v>100</v>
      </c>
      <c r="H100" s="35"/>
    </row>
    <row r="101" spans="1:8">
      <c r="A101" s="65"/>
      <c r="B101" s="5" t="s">
        <v>32</v>
      </c>
      <c r="C101" s="6" t="s">
        <v>129</v>
      </c>
      <c r="D101" s="136" t="s">
        <v>61</v>
      </c>
      <c r="E101" s="31"/>
      <c r="F101" s="31"/>
      <c r="G101" s="211" t="e">
        <f t="shared" ref="G101:G102" si="8">F101/E101*100</f>
        <v>#DIV/0!</v>
      </c>
      <c r="H101" s="33"/>
    </row>
    <row r="102" spans="1:8" ht="31.5">
      <c r="A102" s="625"/>
      <c r="B102" s="203" t="s">
        <v>6</v>
      </c>
      <c r="C102" s="204" t="s">
        <v>130</v>
      </c>
      <c r="D102" s="212" t="s">
        <v>61</v>
      </c>
      <c r="E102" s="221">
        <f>SUM(E103:E107)</f>
        <v>228</v>
      </c>
      <c r="F102" s="221">
        <f>SUM(F103:F107)</f>
        <v>228</v>
      </c>
      <c r="G102" s="211">
        <f t="shared" si="8"/>
        <v>100</v>
      </c>
      <c r="H102" s="213"/>
    </row>
    <row r="103" spans="1:8" ht="47.25">
      <c r="A103" s="625"/>
      <c r="B103" s="5" t="s">
        <v>12</v>
      </c>
      <c r="C103" s="6" t="s">
        <v>131</v>
      </c>
      <c r="D103" s="136" t="s">
        <v>61</v>
      </c>
      <c r="E103" s="31">
        <v>29</v>
      </c>
      <c r="F103" s="31">
        <v>29</v>
      </c>
      <c r="G103" s="211">
        <f>F103/E103*100</f>
        <v>100</v>
      </c>
      <c r="H103" s="36"/>
    </row>
    <row r="104" spans="1:8" ht="63">
      <c r="A104" s="625"/>
      <c r="B104" s="1" t="s">
        <v>14</v>
      </c>
      <c r="C104" s="6" t="s">
        <v>132</v>
      </c>
      <c r="D104" s="136" t="s">
        <v>61</v>
      </c>
      <c r="E104" s="31"/>
      <c r="F104" s="31"/>
      <c r="G104" s="214" t="e">
        <f t="shared" ref="G104" si="9">F104/E104*100</f>
        <v>#DIV/0!</v>
      </c>
      <c r="H104" s="36"/>
    </row>
    <row r="105" spans="1:8" ht="47.25">
      <c r="A105" s="625"/>
      <c r="B105" s="1" t="s">
        <v>16</v>
      </c>
      <c r="C105" s="6" t="s">
        <v>133</v>
      </c>
      <c r="D105" s="136" t="s">
        <v>61</v>
      </c>
      <c r="E105" s="31"/>
      <c r="F105" s="31"/>
      <c r="G105" s="211" t="e">
        <f>F105/E105*100</f>
        <v>#DIV/0!</v>
      </c>
      <c r="H105" s="36"/>
    </row>
    <row r="106" spans="1:8">
      <c r="A106" s="625"/>
      <c r="B106" s="1" t="s">
        <v>7</v>
      </c>
      <c r="C106" s="6" t="s">
        <v>134</v>
      </c>
      <c r="D106" s="136" t="s">
        <v>61</v>
      </c>
      <c r="E106" s="31">
        <v>199</v>
      </c>
      <c r="F106" s="31">
        <v>199</v>
      </c>
      <c r="G106" s="211">
        <f t="shared" ref="G106:G110" si="10">F106/E106*100</f>
        <v>100</v>
      </c>
      <c r="H106" s="213"/>
    </row>
    <row r="107" spans="1:8" ht="31.5">
      <c r="A107" s="625"/>
      <c r="B107" s="1" t="s">
        <v>210</v>
      </c>
      <c r="C107" s="6" t="s">
        <v>135</v>
      </c>
      <c r="D107" s="136" t="s">
        <v>61</v>
      </c>
      <c r="E107" s="31"/>
      <c r="F107" s="31"/>
      <c r="G107" s="211" t="e">
        <f t="shared" si="10"/>
        <v>#DIV/0!</v>
      </c>
      <c r="H107" s="35"/>
    </row>
    <row r="108" spans="1:8" ht="31.5">
      <c r="A108" s="625"/>
      <c r="B108" s="203" t="s">
        <v>8</v>
      </c>
      <c r="C108" s="204" t="s">
        <v>136</v>
      </c>
      <c r="D108" s="205" t="s">
        <v>61</v>
      </c>
      <c r="E108" s="221">
        <f>SUM(E109:E113)</f>
        <v>27</v>
      </c>
      <c r="F108" s="221">
        <f>SUM(F109:F113)</f>
        <v>27</v>
      </c>
      <c r="G108" s="215">
        <f t="shared" si="10"/>
        <v>100</v>
      </c>
      <c r="H108" s="210"/>
    </row>
    <row r="109" spans="1:8" ht="47.25">
      <c r="A109" s="625"/>
      <c r="B109" s="5" t="s">
        <v>62</v>
      </c>
      <c r="C109" s="6" t="s">
        <v>137</v>
      </c>
      <c r="D109" s="136" t="s">
        <v>61</v>
      </c>
      <c r="E109" s="31"/>
      <c r="F109" s="31"/>
      <c r="G109" s="211" t="e">
        <f t="shared" si="10"/>
        <v>#DIV/0!</v>
      </c>
      <c r="H109" s="35"/>
    </row>
    <row r="110" spans="1:8" ht="63">
      <c r="A110" s="625"/>
      <c r="B110" s="5" t="s">
        <v>211</v>
      </c>
      <c r="C110" s="6" t="s">
        <v>138</v>
      </c>
      <c r="D110" s="136" t="s">
        <v>61</v>
      </c>
      <c r="E110" s="31"/>
      <c r="F110" s="31"/>
      <c r="G110" s="211" t="e">
        <f t="shared" si="10"/>
        <v>#DIV/0!</v>
      </c>
      <c r="H110" s="35"/>
    </row>
    <row r="111" spans="1:8" ht="47.25">
      <c r="A111" s="625"/>
      <c r="B111" s="5" t="s">
        <v>63</v>
      </c>
      <c r="C111" s="6" t="s">
        <v>139</v>
      </c>
      <c r="D111" s="136" t="s">
        <v>61</v>
      </c>
      <c r="E111" s="31">
        <v>14</v>
      </c>
      <c r="F111" s="31">
        <v>14</v>
      </c>
      <c r="G111" s="211">
        <f>F111/E111*100</f>
        <v>100</v>
      </c>
      <c r="H111" s="35"/>
    </row>
    <row r="112" spans="1:8" ht="63">
      <c r="A112" s="625"/>
      <c r="B112" s="5" t="s">
        <v>212</v>
      </c>
      <c r="C112" s="6" t="s">
        <v>140</v>
      </c>
      <c r="D112" s="136" t="s">
        <v>61</v>
      </c>
      <c r="E112" s="31"/>
      <c r="F112" s="31"/>
      <c r="G112" s="211" t="e">
        <f t="shared" ref="G112:G143" si="11">F112/E112*100</f>
        <v>#DIV/0!</v>
      </c>
      <c r="H112" s="35"/>
    </row>
    <row r="113" spans="1:9">
      <c r="A113" s="625"/>
      <c r="B113" s="5" t="s">
        <v>62</v>
      </c>
      <c r="C113" s="6" t="s">
        <v>141</v>
      </c>
      <c r="D113" s="136" t="s">
        <v>61</v>
      </c>
      <c r="E113" s="31">
        <v>13</v>
      </c>
      <c r="F113" s="31">
        <v>13</v>
      </c>
      <c r="G113" s="211">
        <f t="shared" si="11"/>
        <v>100</v>
      </c>
      <c r="H113" s="35"/>
    </row>
    <row r="114" spans="1:9" ht="63">
      <c r="A114" s="625"/>
      <c r="B114" s="5"/>
      <c r="C114" s="6" t="s">
        <v>86</v>
      </c>
      <c r="D114" s="136" t="s">
        <v>61</v>
      </c>
      <c r="E114" s="31"/>
      <c r="F114" s="31"/>
      <c r="G114" s="211" t="e">
        <f t="shared" si="11"/>
        <v>#DIV/0!</v>
      </c>
      <c r="H114" s="35"/>
    </row>
    <row r="115" spans="1:9" ht="31.5">
      <c r="A115" s="625"/>
      <c r="B115" s="216" t="s">
        <v>18</v>
      </c>
      <c r="C115" s="204" t="s">
        <v>64</v>
      </c>
      <c r="D115" s="205" t="s">
        <v>61</v>
      </c>
      <c r="E115" s="221">
        <f>E116+E120+E124+E128</f>
        <v>437</v>
      </c>
      <c r="F115" s="221">
        <f>F116+F120+F124+F128</f>
        <v>437</v>
      </c>
      <c r="G115" s="211">
        <f t="shared" si="11"/>
        <v>100</v>
      </c>
      <c r="H115" s="210"/>
    </row>
    <row r="116" spans="1:9" ht="31.5">
      <c r="A116" s="625"/>
      <c r="B116" s="5" t="s">
        <v>65</v>
      </c>
      <c r="C116" s="6" t="s">
        <v>66</v>
      </c>
      <c r="D116" s="136" t="s">
        <v>61</v>
      </c>
      <c r="E116" s="218">
        <f>E117+E118+E119</f>
        <v>270</v>
      </c>
      <c r="F116" s="219">
        <f>F117+F118+F119</f>
        <v>270</v>
      </c>
      <c r="G116" s="211">
        <f t="shared" si="11"/>
        <v>100</v>
      </c>
      <c r="H116" s="35" t="s">
        <v>201</v>
      </c>
    </row>
    <row r="117" spans="1:9">
      <c r="A117" s="625"/>
      <c r="B117" s="5"/>
      <c r="C117" s="37" t="s">
        <v>67</v>
      </c>
      <c r="D117" s="136" t="s">
        <v>61</v>
      </c>
      <c r="E117" s="31">
        <v>136</v>
      </c>
      <c r="F117" s="31">
        <v>136</v>
      </c>
      <c r="G117" s="211">
        <f t="shared" si="11"/>
        <v>100</v>
      </c>
      <c r="H117" s="39"/>
      <c r="I117" s="66"/>
    </row>
    <row r="118" spans="1:9">
      <c r="A118" s="625"/>
      <c r="B118" s="5"/>
      <c r="C118" s="37" t="s">
        <v>68</v>
      </c>
      <c r="D118" s="136" t="s">
        <v>61</v>
      </c>
      <c r="E118" s="31">
        <v>126</v>
      </c>
      <c r="F118" s="31">
        <v>126</v>
      </c>
      <c r="G118" s="211">
        <f t="shared" si="11"/>
        <v>100</v>
      </c>
      <c r="H118" s="39"/>
      <c r="I118" s="66"/>
    </row>
    <row r="119" spans="1:9">
      <c r="A119" s="625"/>
      <c r="B119" s="5"/>
      <c r="C119" s="37" t="s">
        <v>69</v>
      </c>
      <c r="D119" s="136" t="s">
        <v>61</v>
      </c>
      <c r="E119" s="31">
        <v>8</v>
      </c>
      <c r="F119" s="31">
        <v>8</v>
      </c>
      <c r="G119" s="211">
        <f t="shared" si="11"/>
        <v>100</v>
      </c>
      <c r="H119" s="39"/>
      <c r="I119" s="66"/>
    </row>
    <row r="120" spans="1:9" ht="31.5">
      <c r="A120" s="625"/>
      <c r="B120" s="5" t="s">
        <v>70</v>
      </c>
      <c r="C120" s="6" t="s">
        <v>71</v>
      </c>
      <c r="D120" s="136" t="s">
        <v>61</v>
      </c>
      <c r="E120" s="31">
        <f>E121+E122+E123</f>
        <v>2</v>
      </c>
      <c r="F120" s="41">
        <f>F121+F122+F123</f>
        <v>2</v>
      </c>
      <c r="G120" s="211">
        <f t="shared" si="11"/>
        <v>100</v>
      </c>
      <c r="H120" s="39"/>
      <c r="I120" s="66"/>
    </row>
    <row r="121" spans="1:9">
      <c r="A121" s="625"/>
      <c r="B121" s="5"/>
      <c r="C121" s="37" t="s">
        <v>67</v>
      </c>
      <c r="D121" s="136" t="s">
        <v>61</v>
      </c>
      <c r="E121" s="31">
        <v>2</v>
      </c>
      <c r="F121" s="31">
        <v>2</v>
      </c>
      <c r="G121" s="211">
        <f t="shared" si="11"/>
        <v>100</v>
      </c>
      <c r="H121" s="39"/>
      <c r="I121" s="64"/>
    </row>
    <row r="122" spans="1:9">
      <c r="A122" s="625"/>
      <c r="B122" s="5"/>
      <c r="C122" s="37" t="s">
        <v>68</v>
      </c>
      <c r="D122" s="136" t="s">
        <v>61</v>
      </c>
      <c r="E122" s="225">
        <v>0</v>
      </c>
      <c r="F122" s="225">
        <v>0</v>
      </c>
      <c r="G122" s="211" t="e">
        <f t="shared" si="11"/>
        <v>#DIV/0!</v>
      </c>
      <c r="H122" s="39"/>
    </row>
    <row r="123" spans="1:9">
      <c r="A123" s="625"/>
      <c r="B123" s="5"/>
      <c r="C123" s="37" t="s">
        <v>69</v>
      </c>
      <c r="D123" s="136" t="s">
        <v>61</v>
      </c>
      <c r="E123" s="31"/>
      <c r="F123" s="31"/>
      <c r="G123" s="211" t="e">
        <f t="shared" si="11"/>
        <v>#DIV/0!</v>
      </c>
      <c r="H123" s="39"/>
    </row>
    <row r="124" spans="1:9" ht="63">
      <c r="A124" s="625"/>
      <c r="B124" s="5" t="s">
        <v>72</v>
      </c>
      <c r="C124" s="6" t="s">
        <v>73</v>
      </c>
      <c r="D124" s="136" t="s">
        <v>61</v>
      </c>
      <c r="E124" s="218">
        <f>E125+E126+E127</f>
        <v>60</v>
      </c>
      <c r="F124" s="219">
        <f>F125+F126+F127</f>
        <v>60</v>
      </c>
      <c r="G124" s="211">
        <f t="shared" si="11"/>
        <v>100</v>
      </c>
      <c r="H124" s="39" t="s">
        <v>81</v>
      </c>
    </row>
    <row r="125" spans="1:9">
      <c r="A125" s="625"/>
      <c r="B125" s="5"/>
      <c r="C125" s="37" t="s">
        <v>67</v>
      </c>
      <c r="D125" s="136" t="s">
        <v>61</v>
      </c>
      <c r="E125" s="31"/>
      <c r="F125" s="31"/>
      <c r="G125" s="211" t="e">
        <f t="shared" si="11"/>
        <v>#DIV/0!</v>
      </c>
      <c r="H125" s="39"/>
    </row>
    <row r="126" spans="1:9">
      <c r="A126" s="625"/>
      <c r="B126" s="5"/>
      <c r="C126" s="37" t="s">
        <v>68</v>
      </c>
      <c r="D126" s="136" t="s">
        <v>61</v>
      </c>
      <c r="E126" s="31">
        <v>51</v>
      </c>
      <c r="F126" s="31">
        <v>51</v>
      </c>
      <c r="G126" s="211">
        <f t="shared" si="11"/>
        <v>100</v>
      </c>
      <c r="H126" s="39"/>
    </row>
    <row r="127" spans="1:9">
      <c r="A127" s="65"/>
      <c r="B127" s="5"/>
      <c r="C127" s="37" t="s">
        <v>69</v>
      </c>
      <c r="D127" s="136" t="s">
        <v>61</v>
      </c>
      <c r="E127" s="31">
        <v>9</v>
      </c>
      <c r="F127" s="31">
        <v>9</v>
      </c>
      <c r="G127" s="211">
        <f t="shared" si="11"/>
        <v>100</v>
      </c>
      <c r="H127" s="39"/>
    </row>
    <row r="128" spans="1:9" ht="47.25">
      <c r="A128" s="625"/>
      <c r="B128" s="5" t="s">
        <v>74</v>
      </c>
      <c r="C128" s="6" t="s">
        <v>75</v>
      </c>
      <c r="D128" s="136" t="s">
        <v>61</v>
      </c>
      <c r="E128" s="218">
        <f>E129+E130+E131</f>
        <v>105</v>
      </c>
      <c r="F128" s="218">
        <f>F129+F130+F131</f>
        <v>105</v>
      </c>
      <c r="G128" s="211">
        <f t="shared" si="11"/>
        <v>100</v>
      </c>
      <c r="H128" s="39"/>
    </row>
    <row r="129" spans="1:8">
      <c r="A129" s="625"/>
      <c r="B129" s="5"/>
      <c r="C129" s="37" t="s">
        <v>67</v>
      </c>
      <c r="D129" s="136" t="s">
        <v>61</v>
      </c>
      <c r="E129" s="31">
        <v>105</v>
      </c>
      <c r="F129" s="31">
        <v>105</v>
      </c>
      <c r="G129" s="211">
        <f t="shared" si="11"/>
        <v>100</v>
      </c>
      <c r="H129" s="39"/>
    </row>
    <row r="130" spans="1:8">
      <c r="A130" s="625"/>
      <c r="B130" s="5"/>
      <c r="C130" s="37" t="s">
        <v>68</v>
      </c>
      <c r="D130" s="136" t="s">
        <v>61</v>
      </c>
      <c r="E130" s="31"/>
      <c r="F130" s="31"/>
      <c r="G130" s="211" t="e">
        <f t="shared" si="11"/>
        <v>#DIV/0!</v>
      </c>
      <c r="H130" s="39"/>
    </row>
    <row r="131" spans="1:8">
      <c r="A131" s="625"/>
      <c r="B131" s="5"/>
      <c r="C131" s="37" t="s">
        <v>69</v>
      </c>
      <c r="D131" s="136" t="s">
        <v>61</v>
      </c>
      <c r="E131" s="31"/>
      <c r="F131" s="31"/>
      <c r="G131" s="211" t="e">
        <f t="shared" si="11"/>
        <v>#DIV/0!</v>
      </c>
      <c r="H131" s="39"/>
    </row>
    <row r="132" spans="1:8" ht="47.25">
      <c r="A132" s="625"/>
      <c r="B132" s="5" t="s">
        <v>213</v>
      </c>
      <c r="C132" s="6" t="s">
        <v>84</v>
      </c>
      <c r="D132" s="136" t="s">
        <v>61</v>
      </c>
      <c r="E132" s="218">
        <f>E133+E134+E135</f>
        <v>0</v>
      </c>
      <c r="F132" s="219">
        <f>F133+F134+F135</f>
        <v>0</v>
      </c>
      <c r="G132" s="211" t="e">
        <f t="shared" si="11"/>
        <v>#DIV/0!</v>
      </c>
      <c r="H132" s="39"/>
    </row>
    <row r="133" spans="1:8">
      <c r="A133" s="625"/>
      <c r="B133" s="5"/>
      <c r="C133" s="37" t="s">
        <v>67</v>
      </c>
      <c r="D133" s="136" t="s">
        <v>61</v>
      </c>
      <c r="E133" s="31"/>
      <c r="F133" s="31"/>
      <c r="G133" s="211" t="e">
        <f t="shared" si="11"/>
        <v>#DIV/0!</v>
      </c>
      <c r="H133" s="39"/>
    </row>
    <row r="134" spans="1:8">
      <c r="A134" s="625"/>
      <c r="B134" s="5"/>
      <c r="C134" s="37" t="s">
        <v>68</v>
      </c>
      <c r="D134" s="136" t="s">
        <v>61</v>
      </c>
      <c r="E134" s="31"/>
      <c r="F134" s="31"/>
      <c r="G134" s="211" t="e">
        <f>F134/E134*100</f>
        <v>#DIV/0!</v>
      </c>
      <c r="H134" s="39"/>
    </row>
    <row r="135" spans="1:8">
      <c r="A135" s="625"/>
      <c r="B135" s="5"/>
      <c r="C135" s="37" t="s">
        <v>69</v>
      </c>
      <c r="D135" s="136" t="s">
        <v>61</v>
      </c>
      <c r="E135" s="31"/>
      <c r="F135" s="31"/>
      <c r="G135" s="211" t="e">
        <f t="shared" ref="G135" si="12">F135/E135*100</f>
        <v>#DIV/0!</v>
      </c>
      <c r="H135" s="39"/>
    </row>
    <row r="136" spans="1:8" ht="31.5">
      <c r="A136" s="625"/>
      <c r="B136" s="216" t="s">
        <v>21</v>
      </c>
      <c r="C136" s="204" t="s">
        <v>31</v>
      </c>
      <c r="D136" s="205" t="s">
        <v>76</v>
      </c>
      <c r="E136" s="221">
        <f>E137</f>
        <v>105</v>
      </c>
      <c r="F136" s="221">
        <f>F137</f>
        <v>105</v>
      </c>
      <c r="G136" s="215">
        <f t="shared" si="11"/>
        <v>100</v>
      </c>
      <c r="H136" s="210"/>
    </row>
    <row r="137" spans="1:8">
      <c r="A137" s="625"/>
      <c r="B137" s="5" t="s">
        <v>77</v>
      </c>
      <c r="C137" s="6" t="s">
        <v>142</v>
      </c>
      <c r="D137" s="136" t="s">
        <v>76</v>
      </c>
      <c r="E137" s="34">
        <v>105</v>
      </c>
      <c r="F137" s="34">
        <v>105</v>
      </c>
      <c r="G137" s="211">
        <f t="shared" si="11"/>
        <v>100</v>
      </c>
      <c r="H137" s="35"/>
    </row>
    <row r="138" spans="1:8">
      <c r="A138" s="625"/>
      <c r="B138" s="160" t="s">
        <v>24</v>
      </c>
      <c r="C138" s="144" t="s">
        <v>78</v>
      </c>
      <c r="D138" s="157" t="s">
        <v>5</v>
      </c>
      <c r="E138" s="163">
        <f>E139</f>
        <v>0</v>
      </c>
      <c r="F138" s="163">
        <f>F139</f>
        <v>0</v>
      </c>
      <c r="G138" s="158" t="e">
        <f t="shared" si="11"/>
        <v>#DIV/0!</v>
      </c>
      <c r="H138" s="159"/>
    </row>
    <row r="139" spans="1:8">
      <c r="A139" s="625"/>
      <c r="B139" s="148" t="s">
        <v>214</v>
      </c>
      <c r="C139" s="149" t="s">
        <v>79</v>
      </c>
      <c r="D139" s="150" t="s">
        <v>5</v>
      </c>
      <c r="E139" s="151">
        <v>0</v>
      </c>
      <c r="F139" s="151"/>
      <c r="G139" s="152" t="e">
        <f t="shared" si="11"/>
        <v>#DIV/0!</v>
      </c>
      <c r="H139" s="126"/>
    </row>
    <row r="140" spans="1:8">
      <c r="A140" s="625"/>
      <c r="B140" s="139" t="s">
        <v>240</v>
      </c>
      <c r="C140" s="140" t="s">
        <v>82</v>
      </c>
      <c r="D140" s="628"/>
      <c r="E140" s="141">
        <f>E141+E146+E152+E159+E180+E158</f>
        <v>2259</v>
      </c>
      <c r="F140" s="141">
        <f>F141+F146+F152+F159+F180+F158</f>
        <v>2259</v>
      </c>
      <c r="G140" s="162">
        <f t="shared" si="11"/>
        <v>100</v>
      </c>
      <c r="H140" s="629"/>
    </row>
    <row r="141" spans="1:8" ht="31.5">
      <c r="A141" s="625"/>
      <c r="B141" s="143" t="s">
        <v>4</v>
      </c>
      <c r="C141" s="144" t="s">
        <v>125</v>
      </c>
      <c r="D141" s="145" t="s">
        <v>61</v>
      </c>
      <c r="E141" s="229">
        <f>SUM(E142:E145)</f>
        <v>423</v>
      </c>
      <c r="F141" s="229">
        <f>SUM(F142:F145)</f>
        <v>423</v>
      </c>
      <c r="G141" s="146">
        <f t="shared" si="11"/>
        <v>100</v>
      </c>
      <c r="H141" s="147"/>
    </row>
    <row r="142" spans="1:8" ht="47.25">
      <c r="A142" s="625"/>
      <c r="B142" s="148" t="s">
        <v>27</v>
      </c>
      <c r="C142" s="149" t="s">
        <v>126</v>
      </c>
      <c r="D142" s="150" t="s">
        <v>61</v>
      </c>
      <c r="E142" s="151">
        <v>18</v>
      </c>
      <c r="F142" s="151">
        <v>18</v>
      </c>
      <c r="G142" s="152">
        <f t="shared" si="11"/>
        <v>100</v>
      </c>
      <c r="H142" s="153"/>
    </row>
    <row r="143" spans="1:8" ht="63">
      <c r="A143" s="625"/>
      <c r="B143" s="148" t="s">
        <v>28</v>
      </c>
      <c r="C143" s="149" t="s">
        <v>127</v>
      </c>
      <c r="D143" s="150" t="s">
        <v>61</v>
      </c>
      <c r="E143" s="154"/>
      <c r="F143" s="154"/>
      <c r="G143" s="152" t="e">
        <f t="shared" si="11"/>
        <v>#DIV/0!</v>
      </c>
      <c r="H143" s="153"/>
    </row>
    <row r="144" spans="1:8">
      <c r="A144" s="625"/>
      <c r="B144" s="148" t="s">
        <v>26</v>
      </c>
      <c r="C144" s="149" t="s">
        <v>128</v>
      </c>
      <c r="D144" s="150" t="s">
        <v>61</v>
      </c>
      <c r="E144" s="151">
        <v>405</v>
      </c>
      <c r="F144" s="151">
        <v>405</v>
      </c>
      <c r="G144" s="152">
        <f>F144/E144*100</f>
        <v>100</v>
      </c>
      <c r="H144" s="126"/>
    </row>
    <row r="145" spans="1:9">
      <c r="A145" s="625"/>
      <c r="B145" s="5" t="s">
        <v>32</v>
      </c>
      <c r="C145" s="6" t="s">
        <v>129</v>
      </c>
      <c r="D145" s="136" t="s">
        <v>61</v>
      </c>
      <c r="E145" s="31"/>
      <c r="F145" s="31"/>
      <c r="G145" s="211" t="e">
        <f t="shared" ref="G145:G146" si="13">F145/E145*100</f>
        <v>#DIV/0!</v>
      </c>
      <c r="H145" s="33"/>
    </row>
    <row r="146" spans="1:9" ht="31.5">
      <c r="A146" s="625"/>
      <c r="B146" s="203" t="s">
        <v>6</v>
      </c>
      <c r="C146" s="204" t="s">
        <v>130</v>
      </c>
      <c r="D146" s="212" t="s">
        <v>61</v>
      </c>
      <c r="E146" s="221">
        <f>SUM(E147:E151)</f>
        <v>491</v>
      </c>
      <c r="F146" s="221">
        <f>SUM(F147:F151)</f>
        <v>491</v>
      </c>
      <c r="G146" s="211">
        <f t="shared" si="13"/>
        <v>100</v>
      </c>
      <c r="H146" s="213"/>
      <c r="I146" s="64"/>
    </row>
    <row r="147" spans="1:9" ht="47.25">
      <c r="A147" s="625"/>
      <c r="B147" s="5" t="s">
        <v>12</v>
      </c>
      <c r="C147" s="6" t="s">
        <v>131</v>
      </c>
      <c r="D147" s="136" t="s">
        <v>61</v>
      </c>
      <c r="E147" s="31">
        <v>31</v>
      </c>
      <c r="F147" s="31">
        <v>31</v>
      </c>
      <c r="G147" s="211">
        <f>F147/E147*100</f>
        <v>100</v>
      </c>
      <c r="H147" s="36"/>
      <c r="I147" s="64"/>
    </row>
    <row r="148" spans="1:9" ht="63">
      <c r="A148" s="625"/>
      <c r="B148" s="1" t="s">
        <v>14</v>
      </c>
      <c r="C148" s="6" t="s">
        <v>132</v>
      </c>
      <c r="D148" s="136" t="s">
        <v>61</v>
      </c>
      <c r="E148" s="31"/>
      <c r="F148" s="31"/>
      <c r="G148" s="214" t="e">
        <f t="shared" ref="G148" si="14">F148/E148*100</f>
        <v>#DIV/0!</v>
      </c>
      <c r="H148" s="36"/>
      <c r="I148" s="64"/>
    </row>
    <row r="149" spans="1:9" ht="47.25">
      <c r="A149" s="625"/>
      <c r="B149" s="1" t="s">
        <v>16</v>
      </c>
      <c r="C149" s="6" t="s">
        <v>133</v>
      </c>
      <c r="D149" s="136" t="s">
        <v>61</v>
      </c>
      <c r="E149" s="31"/>
      <c r="F149" s="31"/>
      <c r="G149" s="211" t="e">
        <f>F149/E149*100</f>
        <v>#DIV/0!</v>
      </c>
      <c r="H149" s="36"/>
      <c r="I149" s="64"/>
    </row>
    <row r="150" spans="1:9">
      <c r="A150" s="625"/>
      <c r="B150" s="1" t="s">
        <v>7</v>
      </c>
      <c r="C150" s="6" t="s">
        <v>134</v>
      </c>
      <c r="D150" s="136" t="s">
        <v>61</v>
      </c>
      <c r="E150" s="31">
        <v>460</v>
      </c>
      <c r="F150" s="31">
        <v>460</v>
      </c>
      <c r="G150" s="211">
        <f t="shared" ref="G150:G154" si="15">F150/E150*100</f>
        <v>100</v>
      </c>
      <c r="H150" s="213"/>
    </row>
    <row r="151" spans="1:9" ht="31.5">
      <c r="A151" s="625"/>
      <c r="B151" s="1" t="s">
        <v>210</v>
      </c>
      <c r="C151" s="6" t="s">
        <v>135</v>
      </c>
      <c r="D151" s="136" t="s">
        <v>61</v>
      </c>
      <c r="E151" s="31"/>
      <c r="F151" s="31"/>
      <c r="G151" s="211" t="e">
        <f t="shared" si="15"/>
        <v>#DIV/0!</v>
      </c>
      <c r="H151" s="35"/>
    </row>
    <row r="152" spans="1:9" ht="31.5">
      <c r="A152" s="625"/>
      <c r="B152" s="203" t="s">
        <v>8</v>
      </c>
      <c r="C152" s="204" t="s">
        <v>136</v>
      </c>
      <c r="D152" s="205" t="s">
        <v>61</v>
      </c>
      <c r="E152" s="221">
        <f>SUM(E153:E157)</f>
        <v>100</v>
      </c>
      <c r="F152" s="221">
        <f>SUM(F153:F157)</f>
        <v>100</v>
      </c>
      <c r="G152" s="215">
        <f t="shared" si="15"/>
        <v>100</v>
      </c>
      <c r="H152" s="210"/>
    </row>
    <row r="153" spans="1:9" ht="47.25">
      <c r="A153" s="625"/>
      <c r="B153" s="5" t="s">
        <v>62</v>
      </c>
      <c r="C153" s="6" t="s">
        <v>137</v>
      </c>
      <c r="D153" s="136" t="s">
        <v>61</v>
      </c>
      <c r="E153" s="31"/>
      <c r="F153" s="31"/>
      <c r="G153" s="211" t="e">
        <f t="shared" si="15"/>
        <v>#DIV/0!</v>
      </c>
      <c r="H153" s="35"/>
    </row>
    <row r="154" spans="1:9" ht="63">
      <c r="A154" s="625"/>
      <c r="B154" s="5" t="s">
        <v>211</v>
      </c>
      <c r="C154" s="6" t="s">
        <v>138</v>
      </c>
      <c r="D154" s="136" t="s">
        <v>61</v>
      </c>
      <c r="E154" s="31">
        <v>1</v>
      </c>
      <c r="F154" s="31">
        <v>1</v>
      </c>
      <c r="G154" s="211">
        <f t="shared" si="15"/>
        <v>100</v>
      </c>
      <c r="H154" s="35"/>
    </row>
    <row r="155" spans="1:9" ht="47.25">
      <c r="A155" s="625"/>
      <c r="B155" s="5" t="s">
        <v>63</v>
      </c>
      <c r="C155" s="6" t="s">
        <v>139</v>
      </c>
      <c r="D155" s="136" t="s">
        <v>61</v>
      </c>
      <c r="E155" s="31">
        <v>90</v>
      </c>
      <c r="F155" s="31">
        <v>90</v>
      </c>
      <c r="G155" s="211">
        <f>F155/E155*100</f>
        <v>100</v>
      </c>
      <c r="H155" s="35"/>
    </row>
    <row r="156" spans="1:9" ht="63">
      <c r="A156" s="65"/>
      <c r="B156" s="5" t="s">
        <v>212</v>
      </c>
      <c r="C156" s="6" t="s">
        <v>140</v>
      </c>
      <c r="D156" s="136" t="s">
        <v>61</v>
      </c>
      <c r="E156" s="31">
        <v>1</v>
      </c>
      <c r="F156" s="31">
        <v>1</v>
      </c>
      <c r="G156" s="211">
        <f t="shared" ref="G156:G157" si="16">F156/E156*100</f>
        <v>100</v>
      </c>
      <c r="H156" s="35"/>
    </row>
    <row r="157" spans="1:9">
      <c r="A157" s="625"/>
      <c r="B157" s="5" t="s">
        <v>62</v>
      </c>
      <c r="C157" s="6" t="s">
        <v>141</v>
      </c>
      <c r="D157" s="136" t="s">
        <v>61</v>
      </c>
      <c r="E157" s="31">
        <v>8</v>
      </c>
      <c r="F157" s="31">
        <v>8</v>
      </c>
      <c r="G157" s="211">
        <f t="shared" si="16"/>
        <v>100</v>
      </c>
      <c r="H157" s="35"/>
    </row>
    <row r="158" spans="1:9" ht="63">
      <c r="A158" s="625"/>
      <c r="B158" s="5"/>
      <c r="C158" s="6" t="s">
        <v>86</v>
      </c>
      <c r="D158" s="136"/>
      <c r="E158" s="31"/>
      <c r="F158" s="31"/>
      <c r="G158" s="211"/>
      <c r="H158" s="35"/>
    </row>
    <row r="159" spans="1:9" ht="31.5">
      <c r="A159" s="625"/>
      <c r="B159" s="216" t="s">
        <v>18</v>
      </c>
      <c r="C159" s="204" t="s">
        <v>64</v>
      </c>
      <c r="D159" s="205" t="s">
        <v>61</v>
      </c>
      <c r="E159" s="221">
        <f>E160+E164+E168+E172</f>
        <v>830</v>
      </c>
      <c r="F159" s="221">
        <f>F160+F164+F168+F172</f>
        <v>830</v>
      </c>
      <c r="G159" s="211">
        <f t="shared" ref="G159:G227" si="17">F159/E159*100</f>
        <v>100</v>
      </c>
      <c r="H159" s="210"/>
    </row>
    <row r="160" spans="1:9" ht="31.5">
      <c r="A160" s="625"/>
      <c r="B160" s="5" t="s">
        <v>65</v>
      </c>
      <c r="C160" s="6" t="s">
        <v>66</v>
      </c>
      <c r="D160" s="136" t="s">
        <v>61</v>
      </c>
      <c r="E160" s="218">
        <f>E161+E162+E163</f>
        <v>364</v>
      </c>
      <c r="F160" s="219">
        <f>F161+F162+F163</f>
        <v>364</v>
      </c>
      <c r="G160" s="211">
        <f t="shared" si="17"/>
        <v>100</v>
      </c>
      <c r="H160" s="35" t="s">
        <v>201</v>
      </c>
    </row>
    <row r="161" spans="1:8">
      <c r="A161" s="625"/>
      <c r="B161" s="5"/>
      <c r="C161" s="37" t="s">
        <v>67</v>
      </c>
      <c r="D161" s="136" t="s">
        <v>61</v>
      </c>
      <c r="E161" s="31">
        <v>149</v>
      </c>
      <c r="F161" s="31">
        <v>149</v>
      </c>
      <c r="G161" s="211">
        <f t="shared" si="17"/>
        <v>100</v>
      </c>
      <c r="H161" s="39"/>
    </row>
    <row r="162" spans="1:8">
      <c r="A162" s="625"/>
      <c r="B162" s="5"/>
      <c r="C162" s="37" t="s">
        <v>68</v>
      </c>
      <c r="D162" s="136" t="s">
        <v>61</v>
      </c>
      <c r="E162" s="31">
        <v>181</v>
      </c>
      <c r="F162" s="31">
        <v>181</v>
      </c>
      <c r="G162" s="211">
        <f t="shared" si="17"/>
        <v>100</v>
      </c>
      <c r="H162" s="39"/>
    </row>
    <row r="163" spans="1:8">
      <c r="A163" s="625"/>
      <c r="B163" s="5"/>
      <c r="C163" s="37" t="s">
        <v>69</v>
      </c>
      <c r="D163" s="136" t="s">
        <v>61</v>
      </c>
      <c r="E163" s="31">
        <v>34</v>
      </c>
      <c r="F163" s="31">
        <v>34</v>
      </c>
      <c r="G163" s="211">
        <f t="shared" si="17"/>
        <v>100</v>
      </c>
      <c r="H163" s="39"/>
    </row>
    <row r="164" spans="1:8" ht="31.5">
      <c r="A164" s="625"/>
      <c r="B164" s="5" t="s">
        <v>70</v>
      </c>
      <c r="C164" s="6" t="s">
        <v>71</v>
      </c>
      <c r="D164" s="136" t="s">
        <v>61</v>
      </c>
      <c r="E164" s="31">
        <f>E165+E166+E167</f>
        <v>1</v>
      </c>
      <c r="F164" s="41">
        <f>F165+F166+F167</f>
        <v>1</v>
      </c>
      <c r="G164" s="211">
        <f t="shared" si="17"/>
        <v>100</v>
      </c>
      <c r="H164" s="39"/>
    </row>
    <row r="165" spans="1:8" s="19" customFormat="1">
      <c r="A165" s="30"/>
      <c r="B165" s="5"/>
      <c r="C165" s="37" t="s">
        <v>67</v>
      </c>
      <c r="D165" s="136" t="s">
        <v>61</v>
      </c>
      <c r="E165" s="31">
        <v>0</v>
      </c>
      <c r="F165" s="31">
        <v>0</v>
      </c>
      <c r="G165" s="211" t="e">
        <f t="shared" si="17"/>
        <v>#DIV/0!</v>
      </c>
      <c r="H165" s="39"/>
    </row>
    <row r="166" spans="1:8">
      <c r="A166" s="625"/>
      <c r="B166" s="5"/>
      <c r="C166" s="37" t="s">
        <v>68</v>
      </c>
      <c r="D166" s="136" t="s">
        <v>61</v>
      </c>
      <c r="E166" s="31">
        <v>0</v>
      </c>
      <c r="F166" s="31">
        <v>0</v>
      </c>
      <c r="G166" s="211" t="e">
        <f t="shared" si="17"/>
        <v>#DIV/0!</v>
      </c>
      <c r="H166" s="39"/>
    </row>
    <row r="167" spans="1:8">
      <c r="A167" s="625"/>
      <c r="B167" s="5"/>
      <c r="C167" s="37" t="s">
        <v>69</v>
      </c>
      <c r="D167" s="136" t="s">
        <v>61</v>
      </c>
      <c r="E167" s="31">
        <v>1</v>
      </c>
      <c r="F167" s="31">
        <v>1</v>
      </c>
      <c r="G167" s="211">
        <f t="shared" si="17"/>
        <v>100</v>
      </c>
      <c r="H167" s="39"/>
    </row>
    <row r="168" spans="1:8" ht="63">
      <c r="A168" s="625"/>
      <c r="B168" s="5" t="s">
        <v>72</v>
      </c>
      <c r="C168" s="6" t="s">
        <v>73</v>
      </c>
      <c r="D168" s="136" t="s">
        <v>61</v>
      </c>
      <c r="E168" s="218">
        <f>E169+E170+E171</f>
        <v>191</v>
      </c>
      <c r="F168" s="219">
        <f>F169+F170+F171</f>
        <v>191</v>
      </c>
      <c r="G168" s="211">
        <f t="shared" si="17"/>
        <v>100</v>
      </c>
      <c r="H168" s="39" t="s">
        <v>81</v>
      </c>
    </row>
    <row r="169" spans="1:8">
      <c r="A169" s="625"/>
      <c r="B169" s="5"/>
      <c r="C169" s="37" t="s">
        <v>67</v>
      </c>
      <c r="D169" s="136" t="s">
        <v>61</v>
      </c>
      <c r="E169" s="31"/>
      <c r="F169" s="31"/>
      <c r="G169" s="211" t="e">
        <f t="shared" si="17"/>
        <v>#DIV/0!</v>
      </c>
      <c r="H169" s="39"/>
    </row>
    <row r="170" spans="1:8">
      <c r="A170" s="625"/>
      <c r="B170" s="5"/>
      <c r="C170" s="37" t="s">
        <v>68</v>
      </c>
      <c r="D170" s="136" t="s">
        <v>61</v>
      </c>
      <c r="E170" s="31">
        <v>179</v>
      </c>
      <c r="F170" s="31">
        <v>179</v>
      </c>
      <c r="G170" s="211">
        <f t="shared" si="17"/>
        <v>100</v>
      </c>
      <c r="H170" s="39"/>
    </row>
    <row r="171" spans="1:8">
      <c r="A171" s="625"/>
      <c r="B171" s="5"/>
      <c r="C171" s="37" t="s">
        <v>69</v>
      </c>
      <c r="D171" s="136" t="s">
        <v>61</v>
      </c>
      <c r="E171" s="31">
        <v>12</v>
      </c>
      <c r="F171" s="31">
        <v>12</v>
      </c>
      <c r="G171" s="211">
        <f t="shared" si="17"/>
        <v>100</v>
      </c>
      <c r="H171" s="39"/>
    </row>
    <row r="172" spans="1:8" ht="47.25">
      <c r="A172" s="625"/>
      <c r="B172" s="5" t="s">
        <v>74</v>
      </c>
      <c r="C172" s="6" t="s">
        <v>75</v>
      </c>
      <c r="D172" s="136" t="s">
        <v>61</v>
      </c>
      <c r="E172" s="218">
        <f>E173+E174+E175</f>
        <v>274</v>
      </c>
      <c r="F172" s="218">
        <f>F173+F174+F175</f>
        <v>274</v>
      </c>
      <c r="G172" s="211">
        <f t="shared" si="17"/>
        <v>100</v>
      </c>
      <c r="H172" s="39"/>
    </row>
    <row r="173" spans="1:8">
      <c r="A173" s="625"/>
      <c r="B173" s="5"/>
      <c r="C173" s="37" t="s">
        <v>67</v>
      </c>
      <c r="D173" s="136" t="s">
        <v>61</v>
      </c>
      <c r="E173" s="31">
        <v>274</v>
      </c>
      <c r="F173" s="31">
        <v>274</v>
      </c>
      <c r="G173" s="211">
        <f t="shared" si="17"/>
        <v>100</v>
      </c>
      <c r="H173" s="39"/>
    </row>
    <row r="174" spans="1:8">
      <c r="A174" s="625"/>
      <c r="B174" s="5"/>
      <c r="C174" s="37" t="s">
        <v>68</v>
      </c>
      <c r="D174" s="136" t="s">
        <v>61</v>
      </c>
      <c r="E174" s="31"/>
      <c r="F174" s="31"/>
      <c r="G174" s="211" t="e">
        <f t="shared" si="17"/>
        <v>#DIV/0!</v>
      </c>
      <c r="H174" s="39"/>
    </row>
    <row r="175" spans="1:8">
      <c r="A175" s="625"/>
      <c r="B175" s="5"/>
      <c r="C175" s="37" t="s">
        <v>69</v>
      </c>
      <c r="D175" s="136" t="s">
        <v>61</v>
      </c>
      <c r="E175" s="31"/>
      <c r="F175" s="31"/>
      <c r="G175" s="211" t="e">
        <f t="shared" si="17"/>
        <v>#DIV/0!</v>
      </c>
      <c r="H175" s="39"/>
    </row>
    <row r="176" spans="1:8" ht="47.25">
      <c r="A176" s="625"/>
      <c r="B176" s="5" t="s">
        <v>213</v>
      </c>
      <c r="C176" s="6" t="s">
        <v>84</v>
      </c>
      <c r="D176" s="136" t="s">
        <v>61</v>
      </c>
      <c r="E176" s="218">
        <f>E177+E178+E179</f>
        <v>0</v>
      </c>
      <c r="F176" s="219">
        <f>F177+F178+F179</f>
        <v>0</v>
      </c>
      <c r="G176" s="211" t="e">
        <f t="shared" si="17"/>
        <v>#DIV/0!</v>
      </c>
      <c r="H176" s="39"/>
    </row>
    <row r="177" spans="1:9">
      <c r="A177" s="625"/>
      <c r="B177" s="5"/>
      <c r="C177" s="37" t="s">
        <v>67</v>
      </c>
      <c r="D177" s="136" t="s">
        <v>61</v>
      </c>
      <c r="E177" s="31"/>
      <c r="F177" s="31"/>
      <c r="G177" s="211" t="e">
        <f t="shared" si="17"/>
        <v>#DIV/0!</v>
      </c>
      <c r="H177" s="39"/>
    </row>
    <row r="178" spans="1:9">
      <c r="A178" s="625"/>
      <c r="B178" s="5"/>
      <c r="C178" s="37" t="s">
        <v>68</v>
      </c>
      <c r="D178" s="136" t="s">
        <v>61</v>
      </c>
      <c r="E178" s="31"/>
      <c r="F178" s="31"/>
      <c r="G178" s="211" t="e">
        <f>F178/E178*100</f>
        <v>#DIV/0!</v>
      </c>
      <c r="H178" s="39"/>
    </row>
    <row r="179" spans="1:9">
      <c r="A179" s="67"/>
      <c r="B179" s="5"/>
      <c r="C179" s="37" t="s">
        <v>69</v>
      </c>
      <c r="D179" s="136" t="s">
        <v>61</v>
      </c>
      <c r="E179" s="31"/>
      <c r="F179" s="31"/>
      <c r="G179" s="211" t="e">
        <f t="shared" ref="G179" si="18">F179/E179*100</f>
        <v>#DIV/0!</v>
      </c>
      <c r="H179" s="39"/>
    </row>
    <row r="180" spans="1:9" ht="31.5">
      <c r="A180" s="625"/>
      <c r="B180" s="216" t="s">
        <v>21</v>
      </c>
      <c r="C180" s="204" t="s">
        <v>31</v>
      </c>
      <c r="D180" s="205" t="s">
        <v>76</v>
      </c>
      <c r="E180" s="221">
        <f>E181</f>
        <v>415</v>
      </c>
      <c r="F180" s="221">
        <f>F181</f>
        <v>415</v>
      </c>
      <c r="G180" s="211">
        <f t="shared" si="17"/>
        <v>100</v>
      </c>
      <c r="H180" s="210"/>
      <c r="I180" s="64"/>
    </row>
    <row r="181" spans="1:9">
      <c r="A181" s="625"/>
      <c r="B181" s="5" t="s">
        <v>77</v>
      </c>
      <c r="C181" s="6" t="s">
        <v>142</v>
      </c>
      <c r="D181" s="136" t="s">
        <v>76</v>
      </c>
      <c r="E181" s="34">
        <v>415</v>
      </c>
      <c r="F181" s="34">
        <v>415</v>
      </c>
      <c r="G181" s="211">
        <f t="shared" si="17"/>
        <v>100</v>
      </c>
      <c r="H181" s="35"/>
      <c r="I181" s="64"/>
    </row>
    <row r="182" spans="1:9">
      <c r="A182" s="625"/>
      <c r="B182" s="160" t="s">
        <v>24</v>
      </c>
      <c r="C182" s="144" t="s">
        <v>78</v>
      </c>
      <c r="D182" s="157" t="s">
        <v>5</v>
      </c>
      <c r="E182" s="163">
        <f>E183</f>
        <v>0</v>
      </c>
      <c r="F182" s="163">
        <f>F183</f>
        <v>0</v>
      </c>
      <c r="G182" s="152" t="e">
        <f t="shared" si="17"/>
        <v>#DIV/0!</v>
      </c>
      <c r="H182" s="159"/>
      <c r="I182" s="64"/>
    </row>
    <row r="183" spans="1:9">
      <c r="A183" s="625"/>
      <c r="B183" s="148" t="s">
        <v>214</v>
      </c>
      <c r="C183" s="149" t="s">
        <v>79</v>
      </c>
      <c r="D183" s="150" t="s">
        <v>5</v>
      </c>
      <c r="E183" s="151"/>
      <c r="F183" s="151"/>
      <c r="G183" s="152" t="e">
        <f t="shared" si="17"/>
        <v>#DIV/0!</v>
      </c>
      <c r="H183" s="126"/>
      <c r="I183" s="64"/>
    </row>
    <row r="184" spans="1:9">
      <c r="A184" s="625"/>
      <c r="B184" s="139" t="s">
        <v>241</v>
      </c>
      <c r="C184" s="140" t="s">
        <v>83</v>
      </c>
      <c r="D184" s="628"/>
      <c r="E184" s="141">
        <f>E185+E190+E196+E203+E224+E202+E226</f>
        <v>7138</v>
      </c>
      <c r="F184" s="141">
        <f>F185+F190+F196+F203+F224+F202+F226</f>
        <v>7138</v>
      </c>
      <c r="G184" s="162">
        <f t="shared" si="17"/>
        <v>100</v>
      </c>
      <c r="H184" s="629"/>
      <c r="I184" s="64"/>
    </row>
    <row r="185" spans="1:9" ht="31.5">
      <c r="A185" s="625"/>
      <c r="B185" s="143" t="s">
        <v>4</v>
      </c>
      <c r="C185" s="144" t="s">
        <v>125</v>
      </c>
      <c r="D185" s="145" t="s">
        <v>61</v>
      </c>
      <c r="E185" s="229">
        <f>SUM(E186:E189)</f>
        <v>363</v>
      </c>
      <c r="F185" s="229">
        <f>SUM(F186:F189)</f>
        <v>363</v>
      </c>
      <c r="G185" s="146">
        <f t="shared" si="17"/>
        <v>100</v>
      </c>
      <c r="H185" s="147"/>
    </row>
    <row r="186" spans="1:9" ht="47.25">
      <c r="A186" s="625"/>
      <c r="B186" s="148" t="s">
        <v>27</v>
      </c>
      <c r="C186" s="149" t="s">
        <v>126</v>
      </c>
      <c r="D186" s="150" t="s">
        <v>61</v>
      </c>
      <c r="E186" s="151">
        <v>35</v>
      </c>
      <c r="F186" s="151">
        <v>35</v>
      </c>
      <c r="G186" s="152">
        <f t="shared" si="17"/>
        <v>100</v>
      </c>
      <c r="H186" s="153"/>
    </row>
    <row r="187" spans="1:9" ht="63">
      <c r="A187" s="625"/>
      <c r="B187" s="148" t="s">
        <v>28</v>
      </c>
      <c r="C187" s="149" t="s">
        <v>127</v>
      </c>
      <c r="D187" s="150" t="s">
        <v>61</v>
      </c>
      <c r="E187" s="154">
        <v>1</v>
      </c>
      <c r="F187" s="154">
        <v>1</v>
      </c>
      <c r="G187" s="152">
        <f t="shared" si="17"/>
        <v>100</v>
      </c>
      <c r="H187" s="153"/>
    </row>
    <row r="188" spans="1:9">
      <c r="A188" s="625"/>
      <c r="B188" s="148" t="s">
        <v>26</v>
      </c>
      <c r="C188" s="149" t="s">
        <v>128</v>
      </c>
      <c r="D188" s="150" t="s">
        <v>61</v>
      </c>
      <c r="E188" s="151">
        <v>326</v>
      </c>
      <c r="F188" s="151">
        <v>326</v>
      </c>
      <c r="G188" s="152">
        <f>F188/E188*100</f>
        <v>100</v>
      </c>
      <c r="H188" s="126"/>
    </row>
    <row r="189" spans="1:9">
      <c r="A189" s="625"/>
      <c r="B189" s="148" t="s">
        <v>32</v>
      </c>
      <c r="C189" s="149" t="s">
        <v>129</v>
      </c>
      <c r="D189" s="150" t="s">
        <v>61</v>
      </c>
      <c r="E189" s="151">
        <v>1</v>
      </c>
      <c r="F189" s="151">
        <v>1</v>
      </c>
      <c r="G189" s="152">
        <f t="shared" ref="G189:G190" si="19">F189/E189*100</f>
        <v>100</v>
      </c>
      <c r="H189" s="153"/>
    </row>
    <row r="190" spans="1:9" ht="31.5">
      <c r="A190" s="65"/>
      <c r="B190" s="203" t="s">
        <v>6</v>
      </c>
      <c r="C190" s="204" t="s">
        <v>130</v>
      </c>
      <c r="D190" s="212" t="s">
        <v>61</v>
      </c>
      <c r="E190" s="221">
        <f>SUM(E191:E195)</f>
        <v>433</v>
      </c>
      <c r="F190" s="221">
        <f>SUM(F191:F195)</f>
        <v>433</v>
      </c>
      <c r="G190" s="211">
        <f t="shared" si="19"/>
        <v>100</v>
      </c>
      <c r="H190" s="213"/>
    </row>
    <row r="191" spans="1:9" ht="47.25">
      <c r="A191" s="625"/>
      <c r="B191" s="5" t="s">
        <v>12</v>
      </c>
      <c r="C191" s="6" t="s">
        <v>131</v>
      </c>
      <c r="D191" s="136" t="s">
        <v>61</v>
      </c>
      <c r="E191" s="31">
        <v>38</v>
      </c>
      <c r="F191" s="31">
        <v>38</v>
      </c>
      <c r="G191" s="211">
        <f>F191/E191*100</f>
        <v>100</v>
      </c>
      <c r="H191" s="36"/>
    </row>
    <row r="192" spans="1:9" ht="63">
      <c r="A192" s="625"/>
      <c r="B192" s="1" t="s">
        <v>14</v>
      </c>
      <c r="C192" s="6" t="s">
        <v>132</v>
      </c>
      <c r="D192" s="136" t="s">
        <v>61</v>
      </c>
      <c r="E192" s="31"/>
      <c r="F192" s="31"/>
      <c r="G192" s="214" t="e">
        <f t="shared" ref="G192" si="20">F192/E192*100</f>
        <v>#DIV/0!</v>
      </c>
      <c r="H192" s="36"/>
    </row>
    <row r="193" spans="1:8" ht="47.25">
      <c r="A193" s="625"/>
      <c r="B193" s="1" t="s">
        <v>16</v>
      </c>
      <c r="C193" s="6" t="s">
        <v>133</v>
      </c>
      <c r="D193" s="136" t="s">
        <v>61</v>
      </c>
      <c r="E193" s="31"/>
      <c r="F193" s="31"/>
      <c r="G193" s="211" t="e">
        <f>F193/E193*100</f>
        <v>#DIV/0!</v>
      </c>
      <c r="H193" s="36"/>
    </row>
    <row r="194" spans="1:8">
      <c r="A194" s="625"/>
      <c r="B194" s="1" t="s">
        <v>7</v>
      </c>
      <c r="C194" s="6" t="s">
        <v>134</v>
      </c>
      <c r="D194" s="136" t="s">
        <v>61</v>
      </c>
      <c r="E194" s="31">
        <v>393</v>
      </c>
      <c r="F194" s="31">
        <v>393</v>
      </c>
      <c r="G194" s="211">
        <f t="shared" ref="G194:G198" si="21">F194/E194*100</f>
        <v>100</v>
      </c>
      <c r="H194" s="213"/>
    </row>
    <row r="195" spans="1:8" ht="31.5">
      <c r="A195" s="625"/>
      <c r="B195" s="1" t="s">
        <v>210</v>
      </c>
      <c r="C195" s="6" t="s">
        <v>135</v>
      </c>
      <c r="D195" s="136" t="s">
        <v>61</v>
      </c>
      <c r="E195" s="31">
        <v>2</v>
      </c>
      <c r="F195" s="31">
        <v>2</v>
      </c>
      <c r="G195" s="211">
        <f t="shared" si="21"/>
        <v>100</v>
      </c>
      <c r="H195" s="35"/>
    </row>
    <row r="196" spans="1:8" ht="31.5">
      <c r="A196" s="625"/>
      <c r="B196" s="203" t="s">
        <v>8</v>
      </c>
      <c r="C196" s="204" t="s">
        <v>136</v>
      </c>
      <c r="D196" s="205" t="s">
        <v>61</v>
      </c>
      <c r="E196" s="221">
        <f>SUM(E197:E201)</f>
        <v>56</v>
      </c>
      <c r="F196" s="221">
        <f>SUM(F197:F201)</f>
        <v>56</v>
      </c>
      <c r="G196" s="215">
        <f t="shared" si="21"/>
        <v>100</v>
      </c>
      <c r="H196" s="210"/>
    </row>
    <row r="197" spans="1:8" ht="47.25">
      <c r="A197" s="625"/>
      <c r="B197" s="5" t="s">
        <v>62</v>
      </c>
      <c r="C197" s="6" t="s">
        <v>137</v>
      </c>
      <c r="D197" s="136" t="s">
        <v>61</v>
      </c>
      <c r="E197" s="31">
        <v>1</v>
      </c>
      <c r="F197" s="31">
        <v>1</v>
      </c>
      <c r="G197" s="211">
        <f t="shared" si="21"/>
        <v>100</v>
      </c>
      <c r="H197" s="35"/>
    </row>
    <row r="198" spans="1:8" ht="63">
      <c r="A198" s="625"/>
      <c r="B198" s="5" t="s">
        <v>211</v>
      </c>
      <c r="C198" s="6" t="s">
        <v>138</v>
      </c>
      <c r="D198" s="136" t="s">
        <v>61</v>
      </c>
      <c r="E198" s="31"/>
      <c r="F198" s="31"/>
      <c r="G198" s="211" t="e">
        <f t="shared" si="21"/>
        <v>#DIV/0!</v>
      </c>
      <c r="H198" s="35"/>
    </row>
    <row r="199" spans="1:8" ht="47.25">
      <c r="A199" s="625"/>
      <c r="B199" s="5" t="s">
        <v>63</v>
      </c>
      <c r="C199" s="6" t="s">
        <v>139</v>
      </c>
      <c r="D199" s="136" t="s">
        <v>61</v>
      </c>
      <c r="E199" s="31">
        <v>41</v>
      </c>
      <c r="F199" s="31">
        <v>41</v>
      </c>
      <c r="G199" s="211">
        <f>F199/E199*100</f>
        <v>100</v>
      </c>
      <c r="H199" s="35"/>
    </row>
    <row r="200" spans="1:8" ht="63">
      <c r="A200" s="625"/>
      <c r="B200" s="5" t="s">
        <v>212</v>
      </c>
      <c r="C200" s="6" t="s">
        <v>140</v>
      </c>
      <c r="D200" s="136" t="s">
        <v>61</v>
      </c>
      <c r="E200" s="31"/>
      <c r="F200" s="31"/>
      <c r="G200" s="211" t="e">
        <f t="shared" ref="G200:G201" si="22">F200/E200*100</f>
        <v>#DIV/0!</v>
      </c>
      <c r="H200" s="35"/>
    </row>
    <row r="201" spans="1:8">
      <c r="A201" s="625"/>
      <c r="B201" s="5" t="s">
        <v>62</v>
      </c>
      <c r="C201" s="6" t="s">
        <v>141</v>
      </c>
      <c r="D201" s="136" t="s">
        <v>61</v>
      </c>
      <c r="E201" s="31">
        <v>14</v>
      </c>
      <c r="F201" s="31">
        <v>14</v>
      </c>
      <c r="G201" s="211">
        <f t="shared" si="22"/>
        <v>100</v>
      </c>
      <c r="H201" s="35"/>
    </row>
    <row r="202" spans="1:8" ht="63">
      <c r="A202" s="625"/>
      <c r="B202" s="5"/>
      <c r="C202" s="6" t="s">
        <v>86</v>
      </c>
      <c r="D202" s="136"/>
      <c r="E202" s="31"/>
      <c r="F202" s="31"/>
      <c r="G202" s="211"/>
      <c r="H202" s="35"/>
    </row>
    <row r="203" spans="1:8" ht="31.5">
      <c r="A203" s="625"/>
      <c r="B203" s="216" t="s">
        <v>18</v>
      </c>
      <c r="C203" s="204" t="s">
        <v>64</v>
      </c>
      <c r="D203" s="205" t="s">
        <v>61</v>
      </c>
      <c r="E203" s="221">
        <f>E204+E208+E212+E220+E216</f>
        <v>753</v>
      </c>
      <c r="F203" s="221">
        <f>F204+F208+F212+F220+F216</f>
        <v>753</v>
      </c>
      <c r="G203" s="211">
        <f t="shared" si="17"/>
        <v>100</v>
      </c>
      <c r="H203" s="210"/>
    </row>
    <row r="204" spans="1:8" ht="31.5">
      <c r="A204" s="625"/>
      <c r="B204" s="5" t="s">
        <v>65</v>
      </c>
      <c r="C204" s="6" t="s">
        <v>66</v>
      </c>
      <c r="D204" s="136" t="s">
        <v>61</v>
      </c>
      <c r="E204" s="218">
        <f>E205+E206+E207</f>
        <v>308</v>
      </c>
      <c r="F204" s="219">
        <f>F205+F206+F207</f>
        <v>308</v>
      </c>
      <c r="G204" s="211">
        <f t="shared" si="17"/>
        <v>100</v>
      </c>
      <c r="H204" s="35" t="s">
        <v>200</v>
      </c>
    </row>
    <row r="205" spans="1:8">
      <c r="A205" s="625"/>
      <c r="B205" s="5"/>
      <c r="C205" s="37" t="s">
        <v>67</v>
      </c>
      <c r="D205" s="136" t="s">
        <v>61</v>
      </c>
      <c r="E205" s="31">
        <v>137</v>
      </c>
      <c r="F205" s="31">
        <v>137</v>
      </c>
      <c r="G205" s="211">
        <f t="shared" si="17"/>
        <v>100</v>
      </c>
      <c r="H205" s="39"/>
    </row>
    <row r="206" spans="1:8">
      <c r="A206" s="625"/>
      <c r="B206" s="5"/>
      <c r="C206" s="37" t="s">
        <v>68</v>
      </c>
      <c r="D206" s="136" t="s">
        <v>61</v>
      </c>
      <c r="E206" s="31">
        <v>157</v>
      </c>
      <c r="F206" s="31">
        <v>157</v>
      </c>
      <c r="G206" s="211">
        <f t="shared" si="17"/>
        <v>100</v>
      </c>
      <c r="H206" s="39"/>
    </row>
    <row r="207" spans="1:8">
      <c r="A207" s="625"/>
      <c r="B207" s="5"/>
      <c r="C207" s="37" t="s">
        <v>69</v>
      </c>
      <c r="D207" s="136" t="s">
        <v>61</v>
      </c>
      <c r="E207" s="31">
        <v>14</v>
      </c>
      <c r="F207" s="31">
        <v>14</v>
      </c>
      <c r="G207" s="211">
        <f t="shared" si="17"/>
        <v>100</v>
      </c>
      <c r="H207" s="39"/>
    </row>
    <row r="208" spans="1:8" ht="31.5">
      <c r="A208" s="625"/>
      <c r="B208" s="5" t="s">
        <v>70</v>
      </c>
      <c r="C208" s="6" t="s">
        <v>71</v>
      </c>
      <c r="D208" s="136" t="s">
        <v>61</v>
      </c>
      <c r="E208" s="218">
        <f>E209+E210+E211</f>
        <v>2</v>
      </c>
      <c r="F208" s="219">
        <f>F209+F210+F211</f>
        <v>2</v>
      </c>
      <c r="G208" s="211">
        <f t="shared" si="17"/>
        <v>100</v>
      </c>
      <c r="H208" s="39"/>
    </row>
    <row r="209" spans="1:16">
      <c r="A209" s="625"/>
      <c r="B209" s="5"/>
      <c r="C209" s="37" t="s">
        <v>67</v>
      </c>
      <c r="D209" s="136" t="s">
        <v>61</v>
      </c>
      <c r="E209" s="31">
        <v>1</v>
      </c>
      <c r="F209" s="31">
        <v>1</v>
      </c>
      <c r="G209" s="211">
        <f t="shared" si="17"/>
        <v>100</v>
      </c>
      <c r="H209" s="39"/>
    </row>
    <row r="210" spans="1:16">
      <c r="A210" s="625"/>
      <c r="B210" s="5"/>
      <c r="C210" s="37" t="s">
        <v>68</v>
      </c>
      <c r="D210" s="136" t="s">
        <v>61</v>
      </c>
      <c r="E210" s="31">
        <v>1</v>
      </c>
      <c r="F210" s="31">
        <v>1</v>
      </c>
      <c r="G210" s="211">
        <f t="shared" si="17"/>
        <v>100</v>
      </c>
      <c r="H210" s="39"/>
    </row>
    <row r="211" spans="1:16">
      <c r="A211" s="625"/>
      <c r="B211" s="5"/>
      <c r="C211" s="37" t="s">
        <v>69</v>
      </c>
      <c r="D211" s="136" t="s">
        <v>61</v>
      </c>
      <c r="E211" s="31">
        <v>0</v>
      </c>
      <c r="F211" s="31">
        <v>0</v>
      </c>
      <c r="G211" s="211" t="e">
        <f t="shared" si="17"/>
        <v>#DIV/0!</v>
      </c>
      <c r="H211" s="39"/>
    </row>
    <row r="212" spans="1:16" ht="63">
      <c r="A212" s="625"/>
      <c r="B212" s="5" t="s">
        <v>72</v>
      </c>
      <c r="C212" s="6" t="s">
        <v>73</v>
      </c>
      <c r="D212" s="136" t="s">
        <v>61</v>
      </c>
      <c r="E212" s="218">
        <f>E213+E214+E215</f>
        <v>159</v>
      </c>
      <c r="F212" s="219">
        <f>F213+F214+F215</f>
        <v>159</v>
      </c>
      <c r="G212" s="211">
        <f t="shared" si="17"/>
        <v>100</v>
      </c>
      <c r="H212" s="39" t="s">
        <v>81</v>
      </c>
    </row>
    <row r="213" spans="1:16">
      <c r="A213" s="625"/>
      <c r="B213" s="5"/>
      <c r="C213" s="37" t="s">
        <v>67</v>
      </c>
      <c r="D213" s="136" t="s">
        <v>61</v>
      </c>
      <c r="E213" s="31"/>
      <c r="F213" s="31"/>
      <c r="G213" s="211" t="e">
        <f t="shared" si="17"/>
        <v>#DIV/0!</v>
      </c>
      <c r="H213" s="39"/>
    </row>
    <row r="214" spans="1:16">
      <c r="A214" s="625"/>
      <c r="B214" s="5"/>
      <c r="C214" s="37" t="s">
        <v>68</v>
      </c>
      <c r="D214" s="136" t="s">
        <v>61</v>
      </c>
      <c r="E214" s="31">
        <v>142</v>
      </c>
      <c r="F214" s="31">
        <v>142</v>
      </c>
      <c r="G214" s="211">
        <f t="shared" si="17"/>
        <v>100</v>
      </c>
      <c r="H214" s="39"/>
    </row>
    <row r="215" spans="1:16">
      <c r="A215" s="65"/>
      <c r="B215" s="5"/>
      <c r="C215" s="37" t="s">
        <v>69</v>
      </c>
      <c r="D215" s="136" t="s">
        <v>61</v>
      </c>
      <c r="E215" s="31">
        <v>17</v>
      </c>
      <c r="F215" s="31">
        <v>17</v>
      </c>
      <c r="G215" s="211">
        <f t="shared" si="17"/>
        <v>100</v>
      </c>
      <c r="H215" s="39"/>
    </row>
    <row r="216" spans="1:16" ht="47.25">
      <c r="A216" s="625"/>
      <c r="B216" s="5" t="s">
        <v>74</v>
      </c>
      <c r="C216" s="6" t="s">
        <v>75</v>
      </c>
      <c r="D216" s="136" t="s">
        <v>61</v>
      </c>
      <c r="E216" s="218">
        <f>E217+E218+E219</f>
        <v>225</v>
      </c>
      <c r="F216" s="218">
        <f>F217+F218+F219</f>
        <v>225</v>
      </c>
      <c r="G216" s="211">
        <f t="shared" si="17"/>
        <v>100</v>
      </c>
      <c r="H216" s="39"/>
    </row>
    <row r="217" spans="1:16">
      <c r="A217" s="625"/>
      <c r="B217" s="5"/>
      <c r="C217" s="37" t="s">
        <v>67</v>
      </c>
      <c r="D217" s="136" t="s">
        <v>61</v>
      </c>
      <c r="E217" s="31">
        <v>225</v>
      </c>
      <c r="F217" s="31">
        <v>225</v>
      </c>
      <c r="G217" s="211">
        <f t="shared" si="17"/>
        <v>100</v>
      </c>
      <c r="H217" s="39"/>
    </row>
    <row r="218" spans="1:16">
      <c r="A218" s="625"/>
      <c r="B218" s="5"/>
      <c r="C218" s="37" t="s">
        <v>68</v>
      </c>
      <c r="D218" s="136" t="s">
        <v>61</v>
      </c>
      <c r="E218" s="31"/>
      <c r="F218" s="31"/>
      <c r="G218" s="211" t="e">
        <f t="shared" si="17"/>
        <v>#DIV/0!</v>
      </c>
      <c r="H218" s="39"/>
    </row>
    <row r="219" spans="1:16" s="19" customFormat="1">
      <c r="B219" s="5"/>
      <c r="C219" s="37" t="s">
        <v>69</v>
      </c>
      <c r="D219" s="136" t="s">
        <v>61</v>
      </c>
      <c r="E219" s="31"/>
      <c r="F219" s="31"/>
      <c r="G219" s="211" t="e">
        <f t="shared" si="17"/>
        <v>#DIV/0!</v>
      </c>
      <c r="H219" s="39"/>
      <c r="I219" s="59"/>
      <c r="J219" s="59"/>
      <c r="K219" s="59"/>
      <c r="L219" s="59"/>
      <c r="M219" s="59"/>
      <c r="N219" s="59"/>
      <c r="O219" s="59"/>
      <c r="P219" s="59"/>
    </row>
    <row r="220" spans="1:16" ht="47.25">
      <c r="B220" s="5" t="s">
        <v>213</v>
      </c>
      <c r="C220" s="6" t="s">
        <v>84</v>
      </c>
      <c r="D220" s="136" t="s">
        <v>61</v>
      </c>
      <c r="E220" s="218">
        <f>E221+E222+E223</f>
        <v>59</v>
      </c>
      <c r="F220" s="219">
        <f>F221+F222+F223</f>
        <v>59</v>
      </c>
      <c r="G220" s="211">
        <f t="shared" si="17"/>
        <v>100</v>
      </c>
      <c r="H220" s="39"/>
      <c r="I220" s="44"/>
      <c r="J220" s="44"/>
      <c r="K220" s="44"/>
      <c r="L220" s="44"/>
      <c r="M220" s="44"/>
      <c r="N220" s="44"/>
      <c r="O220" s="44"/>
      <c r="P220" s="44"/>
    </row>
    <row r="221" spans="1:16">
      <c r="B221" s="5"/>
      <c r="C221" s="37" t="s">
        <v>67</v>
      </c>
      <c r="D221" s="136" t="s">
        <v>61</v>
      </c>
      <c r="E221" s="31"/>
      <c r="F221" s="31"/>
      <c r="G221" s="211" t="e">
        <f t="shared" si="17"/>
        <v>#DIV/0!</v>
      </c>
      <c r="H221" s="39"/>
      <c r="J221" s="836"/>
    </row>
    <row r="222" spans="1:16">
      <c r="B222" s="5"/>
      <c r="C222" s="37" t="s">
        <v>68</v>
      </c>
      <c r="D222" s="136" t="s">
        <v>61</v>
      </c>
      <c r="E222" s="31">
        <v>53</v>
      </c>
      <c r="F222" s="31">
        <v>53</v>
      </c>
      <c r="G222" s="211">
        <f>F222/E222*100</f>
        <v>100</v>
      </c>
      <c r="H222" s="39"/>
      <c r="J222" s="836"/>
    </row>
    <row r="223" spans="1:16">
      <c r="B223" s="5"/>
      <c r="C223" s="37" t="s">
        <v>69</v>
      </c>
      <c r="D223" s="136" t="s">
        <v>61</v>
      </c>
      <c r="E223" s="31">
        <v>6</v>
      </c>
      <c r="F223" s="31">
        <v>6</v>
      </c>
      <c r="G223" s="211">
        <f t="shared" si="17"/>
        <v>100</v>
      </c>
      <c r="H223" s="39"/>
      <c r="J223" s="836"/>
    </row>
    <row r="224" spans="1:16" ht="31.5">
      <c r="B224" s="216" t="s">
        <v>21</v>
      </c>
      <c r="C224" s="204" t="s">
        <v>31</v>
      </c>
      <c r="D224" s="205" t="s">
        <v>76</v>
      </c>
      <c r="E224" s="221">
        <f>E225</f>
        <v>250</v>
      </c>
      <c r="F224" s="221">
        <f>F225</f>
        <v>250</v>
      </c>
      <c r="G224" s="211">
        <f t="shared" si="17"/>
        <v>100</v>
      </c>
      <c r="H224" s="42"/>
      <c r="J224" s="836"/>
    </row>
    <row r="225" spans="2:16">
      <c r="B225" s="5" t="s">
        <v>77</v>
      </c>
      <c r="C225" s="6" t="s">
        <v>142</v>
      </c>
      <c r="D225" s="136" t="s">
        <v>76</v>
      </c>
      <c r="E225" s="34">
        <v>250</v>
      </c>
      <c r="F225" s="34">
        <v>250</v>
      </c>
      <c r="G225" s="211">
        <f t="shared" si="17"/>
        <v>100</v>
      </c>
      <c r="H225" s="42"/>
      <c r="J225" s="836"/>
    </row>
    <row r="226" spans="2:16">
      <c r="B226" s="216" t="s">
        <v>24</v>
      </c>
      <c r="C226" s="204" t="s">
        <v>78</v>
      </c>
      <c r="D226" s="205" t="s">
        <v>5</v>
      </c>
      <c r="E226" s="221">
        <f>E227</f>
        <v>5283</v>
      </c>
      <c r="F226" s="221">
        <f>F227</f>
        <v>5283</v>
      </c>
      <c r="G226" s="211">
        <f t="shared" si="17"/>
        <v>100</v>
      </c>
      <c r="H226" s="35"/>
      <c r="J226" s="836"/>
    </row>
    <row r="227" spans="2:16">
      <c r="B227" s="5" t="s">
        <v>214</v>
      </c>
      <c r="C227" s="6" t="s">
        <v>79</v>
      </c>
      <c r="D227" s="136" t="s">
        <v>5</v>
      </c>
      <c r="E227" s="31">
        <v>5283</v>
      </c>
      <c r="F227" s="31">
        <f>E227</f>
        <v>5283</v>
      </c>
      <c r="G227" s="211">
        <f t="shared" si="17"/>
        <v>100</v>
      </c>
      <c r="H227" s="35"/>
      <c r="I227" s="44"/>
      <c r="J227" s="44"/>
      <c r="K227" s="44"/>
      <c r="L227" s="44"/>
      <c r="M227" s="44"/>
      <c r="N227" s="44"/>
      <c r="O227" s="44"/>
      <c r="P227" s="44"/>
    </row>
    <row r="228" spans="2:16">
      <c r="B228" s="139" t="s">
        <v>209</v>
      </c>
      <c r="C228" s="140" t="s">
        <v>85</v>
      </c>
      <c r="D228" s="628">
        <f>E229+E234+E240+E246</f>
        <v>789</v>
      </c>
      <c r="E228" s="141">
        <f>E229+E234+E240+E247+E268+E246</f>
        <v>1653</v>
      </c>
      <c r="F228" s="141">
        <f>F229+F234+F240+F247+F268+F246</f>
        <v>1653</v>
      </c>
      <c r="G228" s="162">
        <f t="shared" ref="G228:G231" si="23">F228/E228*100</f>
        <v>100</v>
      </c>
      <c r="H228" s="629">
        <f>F229+F234+F240+F246</f>
        <v>789</v>
      </c>
      <c r="I228" s="44"/>
      <c r="J228" s="44"/>
      <c r="K228" s="44"/>
      <c r="L228" s="44"/>
      <c r="M228" s="44"/>
      <c r="N228" s="44"/>
      <c r="O228" s="44"/>
      <c r="P228" s="44"/>
    </row>
    <row r="229" spans="2:16" ht="31.5">
      <c r="B229" s="203" t="s">
        <v>4</v>
      </c>
      <c r="C229" s="204" t="s">
        <v>125</v>
      </c>
      <c r="D229" s="222" t="s">
        <v>61</v>
      </c>
      <c r="E229" s="228">
        <f>SUM(E230:E233)</f>
        <v>299</v>
      </c>
      <c r="F229" s="228">
        <f>SUM(F230:F233)</f>
        <v>299</v>
      </c>
      <c r="G229" s="223">
        <f t="shared" si="23"/>
        <v>100</v>
      </c>
      <c r="H229" s="224"/>
    </row>
    <row r="230" spans="2:16" ht="47.25">
      <c r="B230" s="5" t="s">
        <v>27</v>
      </c>
      <c r="C230" s="6" t="s">
        <v>126</v>
      </c>
      <c r="D230" s="136" t="s">
        <v>61</v>
      </c>
      <c r="E230" s="31">
        <v>7</v>
      </c>
      <c r="F230" s="31">
        <v>7</v>
      </c>
      <c r="G230" s="211">
        <f t="shared" si="23"/>
        <v>100</v>
      </c>
      <c r="H230" s="33"/>
    </row>
    <row r="231" spans="2:16" ht="63">
      <c r="B231" s="5" t="s">
        <v>28</v>
      </c>
      <c r="C231" s="6" t="s">
        <v>127</v>
      </c>
      <c r="D231" s="136" t="s">
        <v>61</v>
      </c>
      <c r="E231" s="34">
        <v>1</v>
      </c>
      <c r="F231" s="34">
        <v>1</v>
      </c>
      <c r="G231" s="211">
        <f t="shared" si="23"/>
        <v>100</v>
      </c>
      <c r="H231" s="33"/>
    </row>
    <row r="232" spans="2:16">
      <c r="B232" s="5" t="s">
        <v>26</v>
      </c>
      <c r="C232" s="6" t="s">
        <v>128</v>
      </c>
      <c r="D232" s="136" t="s">
        <v>61</v>
      </c>
      <c r="E232" s="31">
        <v>291</v>
      </c>
      <c r="F232" s="31">
        <v>291</v>
      </c>
      <c r="G232" s="211">
        <f>F232/E232*100</f>
        <v>100</v>
      </c>
      <c r="H232" s="35"/>
    </row>
    <row r="233" spans="2:16">
      <c r="B233" s="5" t="s">
        <v>32</v>
      </c>
      <c r="C233" s="6" t="s">
        <v>129</v>
      </c>
      <c r="D233" s="136" t="s">
        <v>61</v>
      </c>
      <c r="E233" s="31"/>
      <c r="F233" s="31"/>
      <c r="G233" s="211" t="e">
        <f t="shared" ref="G233:G234" si="24">F233/E233*100</f>
        <v>#DIV/0!</v>
      </c>
      <c r="H233" s="33"/>
    </row>
    <row r="234" spans="2:16" ht="31.5">
      <c r="B234" s="203" t="s">
        <v>6</v>
      </c>
      <c r="C234" s="204" t="s">
        <v>130</v>
      </c>
      <c r="D234" s="212" t="s">
        <v>61</v>
      </c>
      <c r="E234" s="221">
        <f>SUM(E235:E239)</f>
        <v>398</v>
      </c>
      <c r="F234" s="221">
        <f>SUM(F235:F239)</f>
        <v>398</v>
      </c>
      <c r="G234" s="211">
        <f t="shared" si="24"/>
        <v>100</v>
      </c>
      <c r="H234" s="213"/>
    </row>
    <row r="235" spans="2:16" ht="47.25">
      <c r="B235" s="5" t="s">
        <v>12</v>
      </c>
      <c r="C235" s="6" t="s">
        <v>131</v>
      </c>
      <c r="D235" s="136" t="s">
        <v>61</v>
      </c>
      <c r="E235" s="31">
        <v>15</v>
      </c>
      <c r="F235" s="31">
        <v>15</v>
      </c>
      <c r="G235" s="211">
        <f>F235/E235*100</f>
        <v>100</v>
      </c>
      <c r="H235" s="36"/>
    </row>
    <row r="236" spans="2:16" s="19" customFormat="1" ht="63">
      <c r="B236" s="1" t="s">
        <v>14</v>
      </c>
      <c r="C236" s="6" t="s">
        <v>132</v>
      </c>
      <c r="D236" s="136" t="s">
        <v>61</v>
      </c>
      <c r="E236" s="31">
        <v>1</v>
      </c>
      <c r="F236" s="31">
        <v>1</v>
      </c>
      <c r="G236" s="214">
        <f t="shared" ref="G236" si="25">F236/E236*100</f>
        <v>100</v>
      </c>
      <c r="H236" s="36"/>
      <c r="I236" s="59"/>
      <c r="J236" s="59"/>
      <c r="K236" s="59"/>
      <c r="L236" s="59"/>
      <c r="M236" s="59"/>
      <c r="N236" s="59"/>
      <c r="O236" s="59"/>
      <c r="P236" s="59"/>
    </row>
    <row r="237" spans="2:16" ht="47.25">
      <c r="B237" s="1" t="s">
        <v>16</v>
      </c>
      <c r="C237" s="6" t="s">
        <v>133</v>
      </c>
      <c r="D237" s="136" t="s">
        <v>61</v>
      </c>
      <c r="E237" s="31">
        <v>150</v>
      </c>
      <c r="F237" s="31">
        <v>150</v>
      </c>
      <c r="G237" s="211">
        <f>F237/E237*100</f>
        <v>100</v>
      </c>
      <c r="H237" s="36"/>
      <c r="I237" s="44"/>
      <c r="J237" s="44"/>
      <c r="K237" s="44"/>
      <c r="L237" s="44"/>
      <c r="M237" s="44"/>
      <c r="N237" s="44"/>
      <c r="O237" s="44"/>
      <c r="P237" s="44"/>
    </row>
    <row r="238" spans="2:16">
      <c r="B238" s="1" t="s">
        <v>7</v>
      </c>
      <c r="C238" s="6" t="s">
        <v>134</v>
      </c>
      <c r="D238" s="136" t="s">
        <v>61</v>
      </c>
      <c r="E238" s="31">
        <v>231</v>
      </c>
      <c r="F238" s="31">
        <v>231</v>
      </c>
      <c r="G238" s="211">
        <f t="shared" ref="G238:G242" si="26">F238/E238*100</f>
        <v>100</v>
      </c>
      <c r="H238" s="213"/>
    </row>
    <row r="239" spans="2:16" ht="31.5">
      <c r="B239" s="1" t="s">
        <v>210</v>
      </c>
      <c r="C239" s="6" t="s">
        <v>135</v>
      </c>
      <c r="D239" s="136" t="s">
        <v>61</v>
      </c>
      <c r="E239" s="31">
        <v>1</v>
      </c>
      <c r="F239" s="31">
        <v>1</v>
      </c>
      <c r="G239" s="211">
        <f t="shared" si="26"/>
        <v>100</v>
      </c>
      <c r="H239" s="35"/>
    </row>
    <row r="240" spans="2:16" ht="31.5">
      <c r="B240" s="203" t="s">
        <v>8</v>
      </c>
      <c r="C240" s="204" t="s">
        <v>136</v>
      </c>
      <c r="D240" s="205" t="s">
        <v>61</v>
      </c>
      <c r="E240" s="221">
        <f>SUM(E241:E245)</f>
        <v>91</v>
      </c>
      <c r="F240" s="221">
        <f>SUM(F241:F245)</f>
        <v>91</v>
      </c>
      <c r="G240" s="215">
        <f t="shared" si="26"/>
        <v>100</v>
      </c>
      <c r="H240" s="210"/>
    </row>
    <row r="241" spans="2:16" ht="47.25">
      <c r="B241" s="5" t="s">
        <v>62</v>
      </c>
      <c r="C241" s="6" t="s">
        <v>137</v>
      </c>
      <c r="D241" s="136" t="s">
        <v>61</v>
      </c>
      <c r="E241" s="31"/>
      <c r="F241" s="31"/>
      <c r="G241" s="211" t="e">
        <f t="shared" si="26"/>
        <v>#DIV/0!</v>
      </c>
      <c r="H241" s="35"/>
    </row>
    <row r="242" spans="2:16" ht="63">
      <c r="B242" s="5" t="s">
        <v>211</v>
      </c>
      <c r="C242" s="6" t="s">
        <v>138</v>
      </c>
      <c r="D242" s="136" t="s">
        <v>61</v>
      </c>
      <c r="E242" s="31"/>
      <c r="F242" s="31"/>
      <c r="G242" s="211" t="e">
        <f t="shared" si="26"/>
        <v>#DIV/0!</v>
      </c>
      <c r="H242" s="35"/>
    </row>
    <row r="243" spans="2:16" ht="47.25">
      <c r="B243" s="5" t="s">
        <v>63</v>
      </c>
      <c r="C243" s="6" t="s">
        <v>139</v>
      </c>
      <c r="D243" s="136" t="s">
        <v>61</v>
      </c>
      <c r="E243" s="31">
        <v>54</v>
      </c>
      <c r="F243" s="31">
        <v>54</v>
      </c>
      <c r="G243" s="211">
        <f>F243/E243*100</f>
        <v>100</v>
      </c>
      <c r="H243" s="35"/>
    </row>
    <row r="244" spans="2:16" ht="63">
      <c r="B244" s="5" t="s">
        <v>212</v>
      </c>
      <c r="C244" s="6" t="s">
        <v>140</v>
      </c>
      <c r="D244" s="136" t="s">
        <v>61</v>
      </c>
      <c r="E244" s="31"/>
      <c r="F244" s="31"/>
      <c r="G244" s="211" t="e">
        <f t="shared" ref="G244:G315" si="27">F244/E244*100</f>
        <v>#DIV/0!</v>
      </c>
      <c r="H244" s="35"/>
      <c r="I244" s="44"/>
      <c r="J244" s="44"/>
      <c r="K244" s="44"/>
      <c r="L244" s="44"/>
      <c r="M244" s="44"/>
      <c r="N244" s="44"/>
      <c r="O244" s="44"/>
      <c r="P244" s="44"/>
    </row>
    <row r="245" spans="2:16" s="19" customFormat="1">
      <c r="B245" s="5" t="s">
        <v>62</v>
      </c>
      <c r="C245" s="6" t="s">
        <v>141</v>
      </c>
      <c r="D245" s="136" t="s">
        <v>61</v>
      </c>
      <c r="E245" s="31">
        <v>37</v>
      </c>
      <c r="F245" s="31">
        <v>37</v>
      </c>
      <c r="G245" s="211">
        <f t="shared" si="27"/>
        <v>100</v>
      </c>
      <c r="H245" s="35"/>
      <c r="I245" s="59"/>
      <c r="J245" s="59"/>
      <c r="K245" s="59"/>
      <c r="L245" s="59"/>
      <c r="M245" s="59"/>
      <c r="N245" s="59"/>
      <c r="O245" s="59"/>
      <c r="P245" s="59"/>
    </row>
    <row r="246" spans="2:16" ht="63">
      <c r="B246" s="5" t="s">
        <v>219</v>
      </c>
      <c r="C246" s="6" t="s">
        <v>86</v>
      </c>
      <c r="D246" s="136" t="s">
        <v>61</v>
      </c>
      <c r="E246" s="31">
        <v>1</v>
      </c>
      <c r="F246" s="31">
        <v>1</v>
      </c>
      <c r="G246" s="211">
        <f t="shared" si="27"/>
        <v>100</v>
      </c>
      <c r="H246" s="35"/>
    </row>
    <row r="247" spans="2:16" ht="31.5">
      <c r="B247" s="216" t="s">
        <v>18</v>
      </c>
      <c r="C247" s="204" t="s">
        <v>64</v>
      </c>
      <c r="D247" s="205" t="s">
        <v>61</v>
      </c>
      <c r="E247" s="221">
        <f>E248+E252+E256+E260</f>
        <v>614</v>
      </c>
      <c r="F247" s="221">
        <f>F248+F252+F256+F260</f>
        <v>614</v>
      </c>
      <c r="G247" s="211">
        <f t="shared" si="27"/>
        <v>100</v>
      </c>
      <c r="H247" s="210"/>
    </row>
    <row r="248" spans="2:16" ht="31.5">
      <c r="B248" s="5" t="s">
        <v>65</v>
      </c>
      <c r="C248" s="6" t="s">
        <v>66</v>
      </c>
      <c r="D248" s="136" t="s">
        <v>61</v>
      </c>
      <c r="E248" s="218">
        <f>E249+E250+E251</f>
        <v>224</v>
      </c>
      <c r="F248" s="219">
        <f>F249+F250+F251</f>
        <v>224</v>
      </c>
      <c r="G248" s="211">
        <f t="shared" si="27"/>
        <v>100</v>
      </c>
      <c r="H248" s="35" t="s">
        <v>200</v>
      </c>
    </row>
    <row r="249" spans="2:16">
      <c r="B249" s="5"/>
      <c r="C249" s="37" t="s">
        <v>67</v>
      </c>
      <c r="D249" s="136" t="s">
        <v>61</v>
      </c>
      <c r="E249" s="31">
        <v>96</v>
      </c>
      <c r="F249" s="31">
        <v>96</v>
      </c>
      <c r="G249" s="211">
        <f t="shared" si="27"/>
        <v>100</v>
      </c>
      <c r="H249" s="39"/>
    </row>
    <row r="250" spans="2:16">
      <c r="B250" s="5"/>
      <c r="C250" s="37" t="s">
        <v>68</v>
      </c>
      <c r="D250" s="136" t="s">
        <v>61</v>
      </c>
      <c r="E250" s="31">
        <v>109</v>
      </c>
      <c r="F250" s="31">
        <v>109</v>
      </c>
      <c r="G250" s="211">
        <f t="shared" si="27"/>
        <v>100</v>
      </c>
      <c r="H250" s="39"/>
    </row>
    <row r="251" spans="2:16">
      <c r="B251" s="5"/>
      <c r="C251" s="37" t="s">
        <v>69</v>
      </c>
      <c r="D251" s="136" t="s">
        <v>61</v>
      </c>
      <c r="E251" s="31">
        <v>19</v>
      </c>
      <c r="F251" s="31">
        <v>19</v>
      </c>
      <c r="G251" s="211">
        <f t="shared" si="27"/>
        <v>100</v>
      </c>
      <c r="H251" s="39"/>
    </row>
    <row r="252" spans="2:16" ht="31.5">
      <c r="B252" s="5" t="s">
        <v>70</v>
      </c>
      <c r="C252" s="6" t="s">
        <v>71</v>
      </c>
      <c r="D252" s="136" t="s">
        <v>61</v>
      </c>
      <c r="E252" s="218">
        <f>E253+E254+E255</f>
        <v>1</v>
      </c>
      <c r="F252" s="219">
        <f>F253+F254+F255</f>
        <v>1</v>
      </c>
      <c r="G252" s="211">
        <f t="shared" si="27"/>
        <v>100</v>
      </c>
      <c r="H252" s="39"/>
      <c r="I252" s="44"/>
      <c r="J252" s="44"/>
      <c r="K252" s="44"/>
      <c r="L252" s="44"/>
      <c r="M252" s="44"/>
      <c r="N252" s="44"/>
      <c r="O252" s="44"/>
      <c r="P252" s="44"/>
    </row>
    <row r="253" spans="2:16" s="19" customFormat="1">
      <c r="B253" s="5"/>
      <c r="C253" s="37" t="s">
        <v>67</v>
      </c>
      <c r="D253" s="136" t="s">
        <v>61</v>
      </c>
      <c r="E253" s="31">
        <v>1</v>
      </c>
      <c r="F253" s="31">
        <v>1</v>
      </c>
      <c r="G253" s="211">
        <f t="shared" si="27"/>
        <v>100</v>
      </c>
      <c r="H253" s="39"/>
    </row>
    <row r="254" spans="2:16">
      <c r="B254" s="5"/>
      <c r="C254" s="37" t="s">
        <v>68</v>
      </c>
      <c r="D254" s="136" t="s">
        <v>61</v>
      </c>
      <c r="E254" s="31">
        <v>0</v>
      </c>
      <c r="F254" s="31">
        <v>0</v>
      </c>
      <c r="G254" s="211" t="e">
        <f t="shared" si="27"/>
        <v>#DIV/0!</v>
      </c>
      <c r="H254" s="39"/>
    </row>
    <row r="255" spans="2:16">
      <c r="B255" s="5"/>
      <c r="C255" s="37" t="s">
        <v>69</v>
      </c>
      <c r="D255" s="136" t="s">
        <v>61</v>
      </c>
      <c r="E255" s="31"/>
      <c r="F255" s="31"/>
      <c r="G255" s="211" t="e">
        <f t="shared" si="27"/>
        <v>#DIV/0!</v>
      </c>
      <c r="H255" s="39"/>
    </row>
    <row r="256" spans="2:16" ht="63">
      <c r="B256" s="5" t="s">
        <v>72</v>
      </c>
      <c r="C256" s="6" t="s">
        <v>73</v>
      </c>
      <c r="D256" s="136" t="s">
        <v>61</v>
      </c>
      <c r="E256" s="218">
        <f>E257+E258+E259</f>
        <v>187</v>
      </c>
      <c r="F256" s="219">
        <f>F257+F258+F259</f>
        <v>187</v>
      </c>
      <c r="G256" s="211">
        <f t="shared" si="27"/>
        <v>100</v>
      </c>
      <c r="H256" s="39" t="s">
        <v>81</v>
      </c>
    </row>
    <row r="257" spans="2:16">
      <c r="B257" s="5"/>
      <c r="C257" s="37" t="s">
        <v>67</v>
      </c>
      <c r="D257" s="136" t="s">
        <v>61</v>
      </c>
      <c r="E257" s="31"/>
      <c r="F257" s="31"/>
      <c r="G257" s="211" t="e">
        <f t="shared" si="27"/>
        <v>#DIV/0!</v>
      </c>
      <c r="H257" s="39"/>
    </row>
    <row r="258" spans="2:16">
      <c r="B258" s="5"/>
      <c r="C258" s="37" t="s">
        <v>68</v>
      </c>
      <c r="D258" s="136" t="s">
        <v>61</v>
      </c>
      <c r="E258" s="31">
        <v>153</v>
      </c>
      <c r="F258" s="31">
        <v>153</v>
      </c>
      <c r="G258" s="211">
        <f t="shared" si="27"/>
        <v>100</v>
      </c>
      <c r="H258" s="39"/>
    </row>
    <row r="259" spans="2:16">
      <c r="B259" s="5"/>
      <c r="C259" s="37" t="s">
        <v>69</v>
      </c>
      <c r="D259" s="136" t="s">
        <v>61</v>
      </c>
      <c r="E259" s="31">
        <v>34</v>
      </c>
      <c r="F259" s="31">
        <v>34</v>
      </c>
      <c r="G259" s="211">
        <f t="shared" si="27"/>
        <v>100</v>
      </c>
      <c r="H259" s="39"/>
    </row>
    <row r="260" spans="2:16" ht="47.25">
      <c r="B260" s="5" t="s">
        <v>74</v>
      </c>
      <c r="C260" s="6" t="s">
        <v>75</v>
      </c>
      <c r="D260" s="136" t="s">
        <v>61</v>
      </c>
      <c r="E260" s="218">
        <f>E261+E262+E263</f>
        <v>202</v>
      </c>
      <c r="F260" s="218">
        <f>F261+F262+F263</f>
        <v>202</v>
      </c>
      <c r="G260" s="211">
        <f t="shared" si="27"/>
        <v>100</v>
      </c>
      <c r="H260" s="39"/>
      <c r="I260" s="44"/>
      <c r="J260" s="44"/>
      <c r="K260" s="44"/>
      <c r="L260" s="44"/>
      <c r="M260" s="44"/>
      <c r="N260" s="44"/>
      <c r="O260" s="44"/>
      <c r="P260" s="44"/>
    </row>
    <row r="261" spans="2:16">
      <c r="B261" s="5"/>
      <c r="C261" s="37" t="s">
        <v>67</v>
      </c>
      <c r="D261" s="136" t="s">
        <v>61</v>
      </c>
      <c r="E261" s="31">
        <v>202</v>
      </c>
      <c r="F261" s="31">
        <v>202</v>
      </c>
      <c r="G261" s="211">
        <f t="shared" si="27"/>
        <v>100</v>
      </c>
      <c r="H261" s="39"/>
    </row>
    <row r="262" spans="2:16" s="19" customFormat="1">
      <c r="B262" s="5"/>
      <c r="C262" s="37" t="s">
        <v>68</v>
      </c>
      <c r="D262" s="136" t="s">
        <v>61</v>
      </c>
      <c r="E262" s="31"/>
      <c r="F262" s="31"/>
      <c r="G262" s="211" t="e">
        <f t="shared" si="27"/>
        <v>#DIV/0!</v>
      </c>
      <c r="H262" s="39"/>
    </row>
    <row r="263" spans="2:16">
      <c r="B263" s="5"/>
      <c r="C263" s="37" t="s">
        <v>69</v>
      </c>
      <c r="D263" s="136" t="s">
        <v>61</v>
      </c>
      <c r="E263" s="31"/>
      <c r="F263" s="31"/>
      <c r="G263" s="211" t="e">
        <f t="shared" si="27"/>
        <v>#DIV/0!</v>
      </c>
      <c r="H263" s="39"/>
    </row>
    <row r="264" spans="2:16" ht="47.25">
      <c r="B264" s="5" t="s">
        <v>213</v>
      </c>
      <c r="C264" s="6" t="s">
        <v>84</v>
      </c>
      <c r="D264" s="136" t="s">
        <v>61</v>
      </c>
      <c r="E264" s="218">
        <f>E265+E266+E267</f>
        <v>0</v>
      </c>
      <c r="F264" s="219">
        <f>F265+F266+F267</f>
        <v>0</v>
      </c>
      <c r="G264" s="211" t="e">
        <f t="shared" si="27"/>
        <v>#DIV/0!</v>
      </c>
      <c r="H264" s="39"/>
    </row>
    <row r="265" spans="2:16">
      <c r="B265" s="5"/>
      <c r="C265" s="37" t="s">
        <v>67</v>
      </c>
      <c r="D265" s="136" t="s">
        <v>61</v>
      </c>
      <c r="E265" s="31"/>
      <c r="F265" s="31"/>
      <c r="G265" s="211" t="e">
        <f t="shared" si="27"/>
        <v>#DIV/0!</v>
      </c>
      <c r="H265" s="39"/>
    </row>
    <row r="266" spans="2:16">
      <c r="B266" s="5"/>
      <c r="C266" s="37" t="s">
        <v>68</v>
      </c>
      <c r="D266" s="136" t="s">
        <v>61</v>
      </c>
      <c r="E266" s="31"/>
      <c r="F266" s="31"/>
      <c r="G266" s="211" t="e">
        <f>F266/E266*100</f>
        <v>#DIV/0!</v>
      </c>
      <c r="H266" s="39"/>
    </row>
    <row r="267" spans="2:16">
      <c r="B267" s="5"/>
      <c r="C267" s="37" t="s">
        <v>69</v>
      </c>
      <c r="D267" s="136" t="s">
        <v>61</v>
      </c>
      <c r="E267" s="31"/>
      <c r="F267" s="31"/>
      <c r="G267" s="211" t="e">
        <f t="shared" ref="G267" si="28">F267/E267*100</f>
        <v>#DIV/0!</v>
      </c>
      <c r="H267" s="39"/>
    </row>
    <row r="268" spans="2:16" ht="31.5">
      <c r="B268" s="216" t="s">
        <v>21</v>
      </c>
      <c r="C268" s="204" t="s">
        <v>31</v>
      </c>
      <c r="D268" s="205" t="s">
        <v>76</v>
      </c>
      <c r="E268" s="221">
        <f>E269</f>
        <v>250</v>
      </c>
      <c r="F268" s="221">
        <f>F269</f>
        <v>250</v>
      </c>
      <c r="G268" s="211">
        <f t="shared" si="27"/>
        <v>100</v>
      </c>
      <c r="H268" s="210"/>
      <c r="I268" s="44"/>
      <c r="J268" s="44"/>
      <c r="K268" s="44"/>
      <c r="L268" s="44"/>
      <c r="M268" s="44"/>
      <c r="N268" s="44"/>
      <c r="O268" s="44"/>
      <c r="P268" s="44"/>
    </row>
    <row r="269" spans="2:16">
      <c r="B269" s="5" t="s">
        <v>77</v>
      </c>
      <c r="C269" s="6" t="s">
        <v>142</v>
      </c>
      <c r="D269" s="136" t="s">
        <v>76</v>
      </c>
      <c r="E269" s="34">
        <v>250</v>
      </c>
      <c r="F269" s="34">
        <v>250</v>
      </c>
      <c r="G269" s="211">
        <f t="shared" si="27"/>
        <v>100</v>
      </c>
      <c r="H269" s="35"/>
      <c r="I269" s="44"/>
      <c r="J269" s="44"/>
      <c r="K269" s="44"/>
      <c r="L269" s="44"/>
      <c r="M269" s="44"/>
      <c r="N269" s="44"/>
      <c r="O269" s="44"/>
      <c r="P269" s="44"/>
    </row>
    <row r="270" spans="2:16">
      <c r="B270" s="216" t="s">
        <v>24</v>
      </c>
      <c r="C270" s="204" t="s">
        <v>78</v>
      </c>
      <c r="D270" s="205" t="s">
        <v>5</v>
      </c>
      <c r="E270" s="221">
        <f>E271</f>
        <v>0</v>
      </c>
      <c r="F270" s="221">
        <f>F271</f>
        <v>0</v>
      </c>
      <c r="G270" s="211" t="e">
        <f t="shared" si="27"/>
        <v>#DIV/0!</v>
      </c>
      <c r="H270" s="210"/>
    </row>
    <row r="271" spans="2:16">
      <c r="B271" s="148" t="s">
        <v>214</v>
      </c>
      <c r="C271" s="149" t="s">
        <v>79</v>
      </c>
      <c r="D271" s="150" t="s">
        <v>5</v>
      </c>
      <c r="E271" s="151"/>
      <c r="F271" s="151"/>
      <c r="G271" s="152" t="e">
        <f t="shared" si="27"/>
        <v>#DIV/0!</v>
      </c>
      <c r="H271" s="126"/>
    </row>
    <row r="272" spans="2:16">
      <c r="B272" s="139" t="s">
        <v>215</v>
      </c>
      <c r="C272" s="140" t="s">
        <v>87</v>
      </c>
      <c r="D272" s="628"/>
      <c r="E272" s="141">
        <f>E273+E278+E284+E291+E312+E290</f>
        <v>2345</v>
      </c>
      <c r="F272" s="141">
        <f>F273+F278+F284+F291+F312+F290</f>
        <v>2345</v>
      </c>
      <c r="G272" s="162">
        <f t="shared" si="27"/>
        <v>100</v>
      </c>
      <c r="H272" s="629"/>
    </row>
    <row r="273" spans="2:16" ht="31.5">
      <c r="B273" s="143" t="s">
        <v>4</v>
      </c>
      <c r="C273" s="144" t="s">
        <v>125</v>
      </c>
      <c r="D273" s="145" t="s">
        <v>61</v>
      </c>
      <c r="E273" s="229">
        <f>SUM(E274:E277)</f>
        <v>432</v>
      </c>
      <c r="F273" s="229">
        <f>SUM(F274:F277)</f>
        <v>432</v>
      </c>
      <c r="G273" s="146">
        <f t="shared" si="27"/>
        <v>100</v>
      </c>
      <c r="H273" s="147"/>
    </row>
    <row r="274" spans="2:16" ht="47.25">
      <c r="B274" s="148" t="s">
        <v>27</v>
      </c>
      <c r="C274" s="149" t="s">
        <v>126</v>
      </c>
      <c r="D274" s="150" t="s">
        <v>61</v>
      </c>
      <c r="E274" s="151">
        <v>7</v>
      </c>
      <c r="F274" s="151">
        <v>7</v>
      </c>
      <c r="G274" s="152">
        <f t="shared" si="27"/>
        <v>100</v>
      </c>
      <c r="H274" s="153"/>
    </row>
    <row r="275" spans="2:16" ht="63">
      <c r="B275" s="148" t="s">
        <v>28</v>
      </c>
      <c r="C275" s="149" t="s">
        <v>127</v>
      </c>
      <c r="D275" s="150" t="s">
        <v>61</v>
      </c>
      <c r="E275" s="154"/>
      <c r="F275" s="154"/>
      <c r="G275" s="152" t="e">
        <f t="shared" si="27"/>
        <v>#DIV/0!</v>
      </c>
      <c r="H275" s="153"/>
    </row>
    <row r="276" spans="2:16">
      <c r="B276" s="148" t="s">
        <v>26</v>
      </c>
      <c r="C276" s="149" t="s">
        <v>128</v>
      </c>
      <c r="D276" s="150" t="s">
        <v>61</v>
      </c>
      <c r="E276" s="151">
        <v>424</v>
      </c>
      <c r="F276" s="151">
        <v>424</v>
      </c>
      <c r="G276" s="152">
        <f>F276/E276*100</f>
        <v>100</v>
      </c>
      <c r="H276" s="126"/>
    </row>
    <row r="277" spans="2:16">
      <c r="B277" s="148" t="s">
        <v>32</v>
      </c>
      <c r="C277" s="149" t="s">
        <v>129</v>
      </c>
      <c r="D277" s="150" t="s">
        <v>61</v>
      </c>
      <c r="E277" s="151">
        <v>1</v>
      </c>
      <c r="F277" s="151">
        <v>1</v>
      </c>
      <c r="G277" s="152">
        <f t="shared" ref="G277:G278" si="29">F277/E277*100</f>
        <v>100</v>
      </c>
      <c r="H277" s="153"/>
    </row>
    <row r="278" spans="2:16" ht="31.5">
      <c r="B278" s="143" t="s">
        <v>6</v>
      </c>
      <c r="C278" s="144" t="s">
        <v>130</v>
      </c>
      <c r="D278" s="155" t="s">
        <v>61</v>
      </c>
      <c r="E278" s="163">
        <f>SUM(E279:E283)</f>
        <v>492</v>
      </c>
      <c r="F278" s="163">
        <f>SUM(F279:F283)</f>
        <v>492</v>
      </c>
      <c r="G278" s="152">
        <f t="shared" si="29"/>
        <v>100</v>
      </c>
      <c r="H278" s="156"/>
    </row>
    <row r="279" spans="2:16" ht="47.25">
      <c r="B279" s="5" t="s">
        <v>12</v>
      </c>
      <c r="C279" s="6" t="s">
        <v>131</v>
      </c>
      <c r="D279" s="136" t="s">
        <v>61</v>
      </c>
      <c r="E279" s="31">
        <v>10</v>
      </c>
      <c r="F279" s="31">
        <v>10</v>
      </c>
      <c r="G279" s="211">
        <f>F279/E279*100</f>
        <v>100</v>
      </c>
      <c r="H279" s="36"/>
    </row>
    <row r="280" spans="2:16" s="19" customFormat="1" ht="63">
      <c r="B280" s="1" t="s">
        <v>14</v>
      </c>
      <c r="C280" s="6" t="s">
        <v>132</v>
      </c>
      <c r="D280" s="136" t="s">
        <v>61</v>
      </c>
      <c r="E280" s="31"/>
      <c r="F280" s="31"/>
      <c r="G280" s="214" t="e">
        <f t="shared" ref="G280" si="30">F280/E280*100</f>
        <v>#DIV/0!</v>
      </c>
      <c r="H280" s="36"/>
    </row>
    <row r="281" spans="2:16" ht="47.25">
      <c r="B281" s="1" t="s">
        <v>16</v>
      </c>
      <c r="C281" s="6" t="s">
        <v>133</v>
      </c>
      <c r="D281" s="136" t="s">
        <v>61</v>
      </c>
      <c r="E281" s="31"/>
      <c r="F281" s="31"/>
      <c r="G281" s="211" t="e">
        <f>F281/E281*100</f>
        <v>#DIV/0!</v>
      </c>
      <c r="H281" s="36"/>
    </row>
    <row r="282" spans="2:16">
      <c r="B282" s="1" t="s">
        <v>7</v>
      </c>
      <c r="C282" s="6" t="s">
        <v>134</v>
      </c>
      <c r="D282" s="136" t="s">
        <v>61</v>
      </c>
      <c r="E282" s="31">
        <v>481</v>
      </c>
      <c r="F282" s="31">
        <v>481</v>
      </c>
      <c r="G282" s="211">
        <f t="shared" ref="G282:G286" si="31">F282/E282*100</f>
        <v>100</v>
      </c>
      <c r="H282" s="213"/>
    </row>
    <row r="283" spans="2:16" ht="31.5">
      <c r="B283" s="1" t="s">
        <v>210</v>
      </c>
      <c r="C283" s="6" t="s">
        <v>135</v>
      </c>
      <c r="D283" s="136" t="s">
        <v>61</v>
      </c>
      <c r="E283" s="31">
        <v>1</v>
      </c>
      <c r="F283" s="31">
        <v>1</v>
      </c>
      <c r="G283" s="211">
        <f t="shared" si="31"/>
        <v>100</v>
      </c>
      <c r="H283" s="35"/>
    </row>
    <row r="284" spans="2:16" ht="31.5">
      <c r="B284" s="203" t="s">
        <v>8</v>
      </c>
      <c r="C284" s="204" t="s">
        <v>136</v>
      </c>
      <c r="D284" s="205" t="s">
        <v>61</v>
      </c>
      <c r="E284" s="221">
        <f>SUM(E285:E289)</f>
        <v>98</v>
      </c>
      <c r="F284" s="221">
        <f>SUM(F285:F289)</f>
        <v>98</v>
      </c>
      <c r="G284" s="215">
        <f t="shared" si="31"/>
        <v>100</v>
      </c>
      <c r="H284" s="210"/>
      <c r="I284" s="44"/>
      <c r="J284" s="44"/>
      <c r="K284" s="44"/>
      <c r="L284" s="44"/>
      <c r="M284" s="44"/>
      <c r="N284" s="44"/>
      <c r="O284" s="44"/>
      <c r="P284" s="44"/>
    </row>
    <row r="285" spans="2:16" ht="47.25">
      <c r="B285" s="5" t="s">
        <v>62</v>
      </c>
      <c r="C285" s="6" t="s">
        <v>137</v>
      </c>
      <c r="D285" s="136" t="s">
        <v>61</v>
      </c>
      <c r="E285" s="31">
        <v>0</v>
      </c>
      <c r="F285" s="31">
        <v>0</v>
      </c>
      <c r="G285" s="211" t="e">
        <f t="shared" si="31"/>
        <v>#DIV/0!</v>
      </c>
      <c r="H285" s="35"/>
      <c r="I285" s="44"/>
      <c r="J285" s="44"/>
      <c r="K285" s="44"/>
      <c r="L285" s="44"/>
      <c r="M285" s="44"/>
      <c r="N285" s="44"/>
      <c r="O285" s="44"/>
      <c r="P285" s="44"/>
    </row>
    <row r="286" spans="2:16" ht="63">
      <c r="B286" s="5" t="s">
        <v>211</v>
      </c>
      <c r="C286" s="6" t="s">
        <v>138</v>
      </c>
      <c r="D286" s="136" t="s">
        <v>61</v>
      </c>
      <c r="E286" s="31"/>
      <c r="F286" s="31"/>
      <c r="G286" s="211" t="e">
        <f t="shared" si="31"/>
        <v>#DIV/0!</v>
      </c>
      <c r="H286" s="35"/>
      <c r="I286" s="44"/>
      <c r="J286" s="44"/>
      <c r="K286" s="44"/>
      <c r="L286" s="44"/>
      <c r="M286" s="44"/>
      <c r="N286" s="44"/>
      <c r="O286" s="44"/>
      <c r="P286" s="44"/>
    </row>
    <row r="287" spans="2:16" ht="47.25">
      <c r="B287" s="5" t="s">
        <v>63</v>
      </c>
      <c r="C287" s="6" t="s">
        <v>139</v>
      </c>
      <c r="D287" s="136" t="s">
        <v>61</v>
      </c>
      <c r="E287" s="31">
        <v>76</v>
      </c>
      <c r="F287" s="31">
        <v>76</v>
      </c>
      <c r="G287" s="211">
        <f>F287/E287*100</f>
        <v>100</v>
      </c>
      <c r="H287" s="35"/>
      <c r="I287" s="48"/>
      <c r="J287" s="48"/>
      <c r="K287" s="49"/>
      <c r="L287" s="47"/>
      <c r="M287" s="44"/>
      <c r="N287" s="48"/>
      <c r="O287" s="48"/>
      <c r="P287" s="49"/>
    </row>
    <row r="288" spans="2:16" ht="63">
      <c r="B288" s="5" t="s">
        <v>212</v>
      </c>
      <c r="C288" s="6" t="s">
        <v>140</v>
      </c>
      <c r="D288" s="136" t="s">
        <v>61</v>
      </c>
      <c r="E288" s="31"/>
      <c r="F288" s="31"/>
      <c r="G288" s="211" t="e">
        <f t="shared" ref="G288:G290" si="32">F288/E288*100</f>
        <v>#DIV/0!</v>
      </c>
      <c r="H288" s="35"/>
      <c r="I288" s="48"/>
      <c r="J288" s="48"/>
      <c r="K288" s="49"/>
      <c r="L288" s="50"/>
      <c r="M288" s="44"/>
      <c r="N288" s="48"/>
      <c r="O288" s="48"/>
      <c r="P288" s="49"/>
    </row>
    <row r="289" spans="2:8" s="19" customFormat="1">
      <c r="B289" s="5" t="s">
        <v>62</v>
      </c>
      <c r="C289" s="6" t="s">
        <v>141</v>
      </c>
      <c r="D289" s="136" t="s">
        <v>61</v>
      </c>
      <c r="E289" s="31">
        <v>22</v>
      </c>
      <c r="F289" s="31">
        <v>22</v>
      </c>
      <c r="G289" s="211">
        <f t="shared" si="32"/>
        <v>100</v>
      </c>
      <c r="H289" s="35"/>
    </row>
    <row r="290" spans="2:8" ht="63">
      <c r="B290" s="5"/>
      <c r="C290" s="6" t="s">
        <v>86</v>
      </c>
      <c r="D290" s="136" t="s">
        <v>61</v>
      </c>
      <c r="E290" s="31"/>
      <c r="F290" s="31"/>
      <c r="G290" s="211" t="e">
        <f t="shared" si="32"/>
        <v>#DIV/0!</v>
      </c>
      <c r="H290" s="35"/>
    </row>
    <row r="291" spans="2:8" ht="31.5">
      <c r="B291" s="216" t="s">
        <v>18</v>
      </c>
      <c r="C291" s="204" t="s">
        <v>64</v>
      </c>
      <c r="D291" s="205" t="s">
        <v>61</v>
      </c>
      <c r="E291" s="221">
        <f>E292+E296+E300+E304</f>
        <v>888</v>
      </c>
      <c r="F291" s="221">
        <f>F292+F296+F300+F304</f>
        <v>888</v>
      </c>
      <c r="G291" s="211">
        <f t="shared" si="27"/>
        <v>100</v>
      </c>
      <c r="H291" s="210"/>
    </row>
    <row r="292" spans="2:8" ht="49.5" customHeight="1">
      <c r="B292" s="5" t="s">
        <v>65</v>
      </c>
      <c r="C292" s="6" t="s">
        <v>66</v>
      </c>
      <c r="D292" s="136" t="s">
        <v>61</v>
      </c>
      <c r="E292" s="218">
        <f>E293+E294+E295</f>
        <v>294</v>
      </c>
      <c r="F292" s="219">
        <f>F293+F294+F295</f>
        <v>294</v>
      </c>
      <c r="G292" s="211">
        <f t="shared" si="27"/>
        <v>100</v>
      </c>
      <c r="H292" s="35"/>
    </row>
    <row r="293" spans="2:8" ht="41.25" customHeight="1">
      <c r="B293" s="5"/>
      <c r="C293" s="37" t="s">
        <v>67</v>
      </c>
      <c r="D293" s="136" t="s">
        <v>61</v>
      </c>
      <c r="E293" s="31">
        <v>137</v>
      </c>
      <c r="F293" s="31">
        <v>137</v>
      </c>
      <c r="G293" s="211">
        <f t="shared" si="27"/>
        <v>100</v>
      </c>
      <c r="H293" s="39"/>
    </row>
    <row r="294" spans="2:8" ht="48" customHeight="1">
      <c r="B294" s="5"/>
      <c r="C294" s="37" t="s">
        <v>68</v>
      </c>
      <c r="D294" s="136" t="s">
        <v>61</v>
      </c>
      <c r="E294" s="31">
        <v>136</v>
      </c>
      <c r="F294" s="31">
        <v>136</v>
      </c>
      <c r="G294" s="211">
        <f t="shared" si="27"/>
        <v>100</v>
      </c>
      <c r="H294" s="39"/>
    </row>
    <row r="295" spans="2:8" s="19" customFormat="1">
      <c r="B295" s="5"/>
      <c r="C295" s="37" t="s">
        <v>69</v>
      </c>
      <c r="D295" s="136" t="s">
        <v>61</v>
      </c>
      <c r="E295" s="31">
        <v>21</v>
      </c>
      <c r="F295" s="31">
        <v>21</v>
      </c>
      <c r="G295" s="211">
        <f t="shared" si="27"/>
        <v>100</v>
      </c>
      <c r="H295" s="39"/>
    </row>
    <row r="296" spans="2:8" ht="31.5">
      <c r="B296" s="5" t="s">
        <v>70</v>
      </c>
      <c r="C296" s="6" t="s">
        <v>71</v>
      </c>
      <c r="D296" s="136" t="s">
        <v>61</v>
      </c>
      <c r="E296" s="218">
        <f>E297+E298+E299</f>
        <v>0</v>
      </c>
      <c r="F296" s="219">
        <f>F297+F298+F299</f>
        <v>0</v>
      </c>
      <c r="G296" s="211" t="e">
        <f t="shared" si="27"/>
        <v>#DIV/0!</v>
      </c>
      <c r="H296" s="39"/>
    </row>
    <row r="297" spans="2:8">
      <c r="B297" s="5"/>
      <c r="C297" s="37" t="s">
        <v>67</v>
      </c>
      <c r="D297" s="136" t="s">
        <v>61</v>
      </c>
      <c r="E297" s="31"/>
      <c r="F297" s="31"/>
      <c r="G297" s="211" t="e">
        <f t="shared" si="27"/>
        <v>#DIV/0!</v>
      </c>
      <c r="H297" s="39"/>
    </row>
    <row r="298" spans="2:8">
      <c r="B298" s="5"/>
      <c r="C298" s="37" t="s">
        <v>68</v>
      </c>
      <c r="D298" s="136" t="s">
        <v>61</v>
      </c>
      <c r="E298" s="31"/>
      <c r="F298" s="31"/>
      <c r="G298" s="211" t="e">
        <f t="shared" si="27"/>
        <v>#DIV/0!</v>
      </c>
      <c r="H298" s="39"/>
    </row>
    <row r="299" spans="2:8">
      <c r="B299" s="5"/>
      <c r="C299" s="37" t="s">
        <v>69</v>
      </c>
      <c r="D299" s="136" t="s">
        <v>61</v>
      </c>
      <c r="E299" s="31"/>
      <c r="F299" s="31"/>
      <c r="G299" s="211" t="e">
        <f t="shared" si="27"/>
        <v>#DIV/0!</v>
      </c>
      <c r="H299" s="39"/>
    </row>
    <row r="300" spans="2:8" ht="63">
      <c r="B300" s="5" t="s">
        <v>72</v>
      </c>
      <c r="C300" s="6" t="s">
        <v>73</v>
      </c>
      <c r="D300" s="136" t="s">
        <v>61</v>
      </c>
      <c r="E300" s="218">
        <f>E301+E302+E303</f>
        <v>299</v>
      </c>
      <c r="F300" s="219">
        <f>F301+F302+F303</f>
        <v>299</v>
      </c>
      <c r="G300" s="211">
        <f t="shared" si="27"/>
        <v>100</v>
      </c>
      <c r="H300" s="39" t="s">
        <v>81</v>
      </c>
    </row>
    <row r="301" spans="2:8">
      <c r="B301" s="5"/>
      <c r="C301" s="37" t="s">
        <v>67</v>
      </c>
      <c r="D301" s="136" t="s">
        <v>61</v>
      </c>
      <c r="E301" s="31"/>
      <c r="F301" s="31"/>
      <c r="G301" s="211" t="e">
        <f t="shared" si="27"/>
        <v>#DIV/0!</v>
      </c>
      <c r="H301" s="39"/>
    </row>
    <row r="302" spans="2:8">
      <c r="B302" s="5"/>
      <c r="C302" s="37" t="s">
        <v>68</v>
      </c>
      <c r="D302" s="136" t="s">
        <v>61</v>
      </c>
      <c r="E302" s="31">
        <v>254</v>
      </c>
      <c r="F302" s="31">
        <v>254</v>
      </c>
      <c r="G302" s="211">
        <f t="shared" si="27"/>
        <v>100</v>
      </c>
      <c r="H302" s="39"/>
    </row>
    <row r="303" spans="2:8">
      <c r="B303" s="5"/>
      <c r="C303" s="37" t="s">
        <v>69</v>
      </c>
      <c r="D303" s="136" t="s">
        <v>61</v>
      </c>
      <c r="E303" s="31">
        <v>45</v>
      </c>
      <c r="F303" s="31">
        <v>45</v>
      </c>
      <c r="G303" s="211">
        <f t="shared" si="27"/>
        <v>100</v>
      </c>
      <c r="H303" s="39"/>
    </row>
    <row r="304" spans="2:8" ht="47.25">
      <c r="B304" s="5" t="s">
        <v>74</v>
      </c>
      <c r="C304" s="6" t="s">
        <v>75</v>
      </c>
      <c r="D304" s="136" t="s">
        <v>61</v>
      </c>
      <c r="E304" s="218">
        <f>E305+E306+E307</f>
        <v>295</v>
      </c>
      <c r="F304" s="218">
        <f>F305+F306+F307</f>
        <v>295</v>
      </c>
      <c r="G304" s="211">
        <f t="shared" si="27"/>
        <v>100</v>
      </c>
      <c r="H304" s="39"/>
    </row>
    <row r="305" spans="2:8">
      <c r="B305" s="5"/>
      <c r="C305" s="37" t="s">
        <v>67</v>
      </c>
      <c r="D305" s="136" t="s">
        <v>61</v>
      </c>
      <c r="E305" s="31">
        <v>295</v>
      </c>
      <c r="F305" s="31">
        <v>295</v>
      </c>
      <c r="G305" s="211">
        <f t="shared" si="27"/>
        <v>100</v>
      </c>
      <c r="H305" s="39"/>
    </row>
    <row r="306" spans="2:8">
      <c r="B306" s="5"/>
      <c r="C306" s="37" t="s">
        <v>68</v>
      </c>
      <c r="D306" s="136" t="s">
        <v>61</v>
      </c>
      <c r="E306" s="31"/>
      <c r="F306" s="31"/>
      <c r="G306" s="211" t="e">
        <f t="shared" si="27"/>
        <v>#DIV/0!</v>
      </c>
      <c r="H306" s="39"/>
    </row>
    <row r="307" spans="2:8">
      <c r="B307" s="5"/>
      <c r="C307" s="37" t="s">
        <v>69</v>
      </c>
      <c r="D307" s="136" t="s">
        <v>61</v>
      </c>
      <c r="E307" s="31"/>
      <c r="F307" s="31"/>
      <c r="G307" s="211" t="e">
        <f t="shared" si="27"/>
        <v>#DIV/0!</v>
      </c>
      <c r="H307" s="39"/>
    </row>
    <row r="308" spans="2:8" ht="47.25">
      <c r="B308" s="5" t="s">
        <v>213</v>
      </c>
      <c r="C308" s="6" t="s">
        <v>84</v>
      </c>
      <c r="D308" s="136" t="s">
        <v>61</v>
      </c>
      <c r="E308" s="218">
        <f>E309+E310+E311</f>
        <v>0</v>
      </c>
      <c r="F308" s="219">
        <f>F309+F310+F311</f>
        <v>0</v>
      </c>
      <c r="G308" s="211" t="e">
        <f t="shared" si="27"/>
        <v>#DIV/0!</v>
      </c>
      <c r="H308" s="39"/>
    </row>
    <row r="309" spans="2:8">
      <c r="B309" s="5"/>
      <c r="C309" s="37" t="s">
        <v>67</v>
      </c>
      <c r="D309" s="136" t="s">
        <v>61</v>
      </c>
      <c r="E309" s="31"/>
      <c r="F309" s="31"/>
      <c r="G309" s="211" t="e">
        <f t="shared" si="27"/>
        <v>#DIV/0!</v>
      </c>
      <c r="H309" s="39"/>
    </row>
    <row r="310" spans="2:8">
      <c r="B310" s="5"/>
      <c r="C310" s="37" t="s">
        <v>68</v>
      </c>
      <c r="D310" s="136" t="s">
        <v>61</v>
      </c>
      <c r="E310" s="31"/>
      <c r="F310" s="31"/>
      <c r="G310" s="211" t="e">
        <f>F310/E310*100</f>
        <v>#DIV/0!</v>
      </c>
      <c r="H310" s="39"/>
    </row>
    <row r="311" spans="2:8">
      <c r="B311" s="5"/>
      <c r="C311" s="37" t="s">
        <v>69</v>
      </c>
      <c r="D311" s="136" t="s">
        <v>61</v>
      </c>
      <c r="E311" s="31"/>
      <c r="F311" s="31"/>
      <c r="G311" s="211" t="e">
        <f t="shared" ref="G311" si="33">F311/E311*100</f>
        <v>#DIV/0!</v>
      </c>
      <c r="H311" s="39"/>
    </row>
    <row r="312" spans="2:8" ht="31.5">
      <c r="B312" s="216" t="s">
        <v>21</v>
      </c>
      <c r="C312" s="204" t="s">
        <v>31</v>
      </c>
      <c r="D312" s="205" t="s">
        <v>76</v>
      </c>
      <c r="E312" s="221">
        <f>E313</f>
        <v>435</v>
      </c>
      <c r="F312" s="221">
        <f>F313</f>
        <v>435</v>
      </c>
      <c r="G312" s="211">
        <f t="shared" si="27"/>
        <v>100</v>
      </c>
      <c r="H312" s="210"/>
    </row>
    <row r="313" spans="2:8">
      <c r="B313" s="5" t="s">
        <v>77</v>
      </c>
      <c r="C313" s="6" t="s">
        <v>142</v>
      </c>
      <c r="D313" s="136" t="s">
        <v>76</v>
      </c>
      <c r="E313" s="34">
        <v>435</v>
      </c>
      <c r="F313" s="34">
        <v>435</v>
      </c>
      <c r="G313" s="211">
        <f>F313/E313*100</f>
        <v>100</v>
      </c>
      <c r="H313" s="35"/>
    </row>
    <row r="314" spans="2:8">
      <c r="B314" s="160" t="s">
        <v>24</v>
      </c>
      <c r="C314" s="144" t="s">
        <v>78</v>
      </c>
      <c r="D314" s="157" t="s">
        <v>5</v>
      </c>
      <c r="E314" s="163">
        <f>E315</f>
        <v>0</v>
      </c>
      <c r="F314" s="163">
        <f>F315</f>
        <v>0</v>
      </c>
      <c r="G314" s="152" t="e">
        <f t="shared" si="27"/>
        <v>#DIV/0!</v>
      </c>
      <c r="H314" s="159"/>
    </row>
    <row r="315" spans="2:8">
      <c r="B315" s="148" t="s">
        <v>214</v>
      </c>
      <c r="C315" s="149" t="s">
        <v>79</v>
      </c>
      <c r="D315" s="150" t="s">
        <v>5</v>
      </c>
      <c r="E315" s="151"/>
      <c r="F315" s="151"/>
      <c r="G315" s="152" t="e">
        <f t="shared" si="27"/>
        <v>#DIV/0!</v>
      </c>
      <c r="H315" s="126"/>
    </row>
    <row r="316" spans="2:8">
      <c r="B316" s="630" t="s">
        <v>221</v>
      </c>
      <c r="C316" s="631"/>
      <c r="D316" s="632">
        <f>E317+E322+E328+E334</f>
        <v>5328</v>
      </c>
      <c r="E316" s="220">
        <f>E317+E322+E328+E335+E356+E334+E358</f>
        <v>16921</v>
      </c>
      <c r="F316" s="220">
        <f>F317+F322+F328+F335+F356+F334+F358</f>
        <v>16921</v>
      </c>
      <c r="G316" s="632">
        <f>F316/E316*100</f>
        <v>100</v>
      </c>
      <c r="H316" s="633">
        <f>F317+F322+F328+F334</f>
        <v>5328</v>
      </c>
    </row>
    <row r="317" spans="2:8" ht="31.5">
      <c r="B317" s="143" t="s">
        <v>4</v>
      </c>
      <c r="C317" s="144" t="s">
        <v>125</v>
      </c>
      <c r="D317" s="145" t="s">
        <v>61</v>
      </c>
      <c r="E317" s="229">
        <f>SUM(E318:E321)</f>
        <v>2263</v>
      </c>
      <c r="F317" s="229">
        <f>SUM(F318:F321)</f>
        <v>2263</v>
      </c>
      <c r="G317" s="146">
        <f t="shared" ref="G317:G359" si="34">F317/E317*100</f>
        <v>100</v>
      </c>
      <c r="H317" s="147"/>
    </row>
    <row r="318" spans="2:8" ht="47.25">
      <c r="B318" s="5" t="s">
        <v>27</v>
      </c>
      <c r="C318" s="6" t="s">
        <v>126</v>
      </c>
      <c r="D318" s="136" t="s">
        <v>61</v>
      </c>
      <c r="E318" s="31">
        <f t="shared" ref="E318:F321" si="35">E274+E230+E186+E142+E98+E54</f>
        <v>110</v>
      </c>
      <c r="F318" s="31">
        <f t="shared" si="35"/>
        <v>110</v>
      </c>
      <c r="G318" s="211">
        <f t="shared" si="34"/>
        <v>100</v>
      </c>
      <c r="H318" s="33"/>
    </row>
    <row r="319" spans="2:8" ht="63">
      <c r="B319" s="5" t="s">
        <v>28</v>
      </c>
      <c r="C319" s="6" t="s">
        <v>127</v>
      </c>
      <c r="D319" s="136" t="s">
        <v>61</v>
      </c>
      <c r="E319" s="31">
        <f t="shared" si="35"/>
        <v>3</v>
      </c>
      <c r="F319" s="31">
        <f t="shared" si="35"/>
        <v>3</v>
      </c>
      <c r="G319" s="211">
        <f t="shared" si="34"/>
        <v>100</v>
      </c>
      <c r="H319" s="33"/>
    </row>
    <row r="320" spans="2:8">
      <c r="B320" s="5" t="s">
        <v>26</v>
      </c>
      <c r="C320" s="6" t="s">
        <v>128</v>
      </c>
      <c r="D320" s="136" t="s">
        <v>61</v>
      </c>
      <c r="E320" s="31">
        <f t="shared" si="35"/>
        <v>2147</v>
      </c>
      <c r="F320" s="31">
        <f t="shared" si="35"/>
        <v>2147</v>
      </c>
      <c r="G320" s="211">
        <f>F320/E320*100</f>
        <v>100</v>
      </c>
      <c r="H320" s="35"/>
    </row>
    <row r="321" spans="2:8" s="19" customFormat="1" ht="38.25" customHeight="1">
      <c r="B321" s="5" t="s">
        <v>32</v>
      </c>
      <c r="C321" s="6" t="s">
        <v>129</v>
      </c>
      <c r="D321" s="136" t="s">
        <v>61</v>
      </c>
      <c r="E321" s="31">
        <f t="shared" si="35"/>
        <v>3</v>
      </c>
      <c r="F321" s="31">
        <f t="shared" si="35"/>
        <v>3</v>
      </c>
      <c r="G321" s="211">
        <f t="shared" ref="G321:G322" si="36">F321/E321*100</f>
        <v>100</v>
      </c>
      <c r="H321" s="33"/>
    </row>
    <row r="322" spans="2:8" ht="31.5">
      <c r="B322" s="203" t="s">
        <v>6</v>
      </c>
      <c r="C322" s="204" t="s">
        <v>130</v>
      </c>
      <c r="D322" s="212" t="s">
        <v>61</v>
      </c>
      <c r="E322" s="221">
        <f>SUM(E323:E327)</f>
        <v>2571</v>
      </c>
      <c r="F322" s="221">
        <f>SUM(F323:F327)</f>
        <v>2571</v>
      </c>
      <c r="G322" s="211">
        <f t="shared" si="36"/>
        <v>100</v>
      </c>
      <c r="H322" s="213"/>
    </row>
    <row r="323" spans="2:8" ht="47.25">
      <c r="B323" s="5" t="s">
        <v>12</v>
      </c>
      <c r="C323" s="6" t="s">
        <v>131</v>
      </c>
      <c r="D323" s="136" t="s">
        <v>61</v>
      </c>
      <c r="E323" s="31">
        <f t="shared" ref="E323:F327" si="37">E279+E235+E191+E147+E103+E59</f>
        <v>133</v>
      </c>
      <c r="F323" s="31">
        <f t="shared" si="37"/>
        <v>133</v>
      </c>
      <c r="G323" s="211">
        <f>F323/E323*100</f>
        <v>100</v>
      </c>
      <c r="H323" s="36"/>
    </row>
    <row r="324" spans="2:8" ht="63">
      <c r="B324" s="1" t="s">
        <v>14</v>
      </c>
      <c r="C324" s="6" t="s">
        <v>132</v>
      </c>
      <c r="D324" s="136" t="s">
        <v>61</v>
      </c>
      <c r="E324" s="31">
        <f t="shared" si="37"/>
        <v>1</v>
      </c>
      <c r="F324" s="31">
        <f t="shared" si="37"/>
        <v>1</v>
      </c>
      <c r="G324" s="214">
        <f t="shared" ref="G324" si="38">F324/E324*100</f>
        <v>100</v>
      </c>
      <c r="H324" s="36"/>
    </row>
    <row r="325" spans="2:8" ht="47.25">
      <c r="B325" s="1" t="s">
        <v>16</v>
      </c>
      <c r="C325" s="6" t="s">
        <v>133</v>
      </c>
      <c r="D325" s="136" t="s">
        <v>61</v>
      </c>
      <c r="E325" s="31">
        <f t="shared" si="37"/>
        <v>430</v>
      </c>
      <c r="F325" s="31">
        <f t="shared" si="37"/>
        <v>430</v>
      </c>
      <c r="G325" s="211">
        <f>F325/E325*100</f>
        <v>100</v>
      </c>
      <c r="H325" s="36"/>
    </row>
    <row r="326" spans="2:8">
      <c r="B326" s="1" t="s">
        <v>7</v>
      </c>
      <c r="C326" s="6" t="s">
        <v>134</v>
      </c>
      <c r="D326" s="136" t="s">
        <v>61</v>
      </c>
      <c r="E326" s="31">
        <f t="shared" si="37"/>
        <v>2003</v>
      </c>
      <c r="F326" s="31">
        <f t="shared" si="37"/>
        <v>2003</v>
      </c>
      <c r="G326" s="211">
        <f t="shared" ref="G326:G330" si="39">F326/E326*100</f>
        <v>100</v>
      </c>
      <c r="H326" s="213"/>
    </row>
    <row r="327" spans="2:8" ht="31.5">
      <c r="B327" s="1" t="s">
        <v>210</v>
      </c>
      <c r="C327" s="6" t="s">
        <v>135</v>
      </c>
      <c r="D327" s="136" t="s">
        <v>61</v>
      </c>
      <c r="E327" s="31">
        <f t="shared" si="37"/>
        <v>4</v>
      </c>
      <c r="F327" s="31">
        <f t="shared" si="37"/>
        <v>4</v>
      </c>
      <c r="G327" s="211">
        <f t="shared" si="39"/>
        <v>100</v>
      </c>
      <c r="H327" s="35"/>
    </row>
    <row r="328" spans="2:8" ht="31.5">
      <c r="B328" s="203" t="s">
        <v>8</v>
      </c>
      <c r="C328" s="204" t="s">
        <v>136</v>
      </c>
      <c r="D328" s="205" t="s">
        <v>61</v>
      </c>
      <c r="E328" s="221">
        <f>SUM(E329:E333)</f>
        <v>493</v>
      </c>
      <c r="F328" s="221">
        <f>SUM(F329:F333)</f>
        <v>493</v>
      </c>
      <c r="G328" s="215">
        <f t="shared" si="39"/>
        <v>100</v>
      </c>
      <c r="H328" s="210"/>
    </row>
    <row r="329" spans="2:8" ht="47.25">
      <c r="B329" s="5" t="s">
        <v>62</v>
      </c>
      <c r="C329" s="6" t="s">
        <v>137</v>
      </c>
      <c r="D329" s="136" t="s">
        <v>61</v>
      </c>
      <c r="E329" s="31">
        <f t="shared" ref="E329:F334" si="40">E285+E241+E197+E153+E109+E65</f>
        <v>1</v>
      </c>
      <c r="F329" s="31">
        <f t="shared" si="40"/>
        <v>1</v>
      </c>
      <c r="G329" s="211">
        <f t="shared" si="39"/>
        <v>100</v>
      </c>
      <c r="H329" s="35"/>
    </row>
    <row r="330" spans="2:8" ht="63">
      <c r="B330" s="5" t="s">
        <v>211</v>
      </c>
      <c r="C330" s="6" t="s">
        <v>138</v>
      </c>
      <c r="D330" s="136" t="s">
        <v>61</v>
      </c>
      <c r="E330" s="31">
        <f t="shared" si="40"/>
        <v>1</v>
      </c>
      <c r="F330" s="31">
        <f t="shared" si="40"/>
        <v>1</v>
      </c>
      <c r="G330" s="211">
        <f t="shared" si="39"/>
        <v>100</v>
      </c>
      <c r="H330" s="35"/>
    </row>
    <row r="331" spans="2:8" ht="47.25">
      <c r="B331" s="5" t="s">
        <v>63</v>
      </c>
      <c r="C331" s="6" t="s">
        <v>139</v>
      </c>
      <c r="D331" s="136" t="s">
        <v>61</v>
      </c>
      <c r="E331" s="31">
        <f t="shared" si="40"/>
        <v>396</v>
      </c>
      <c r="F331" s="31">
        <f t="shared" si="40"/>
        <v>396</v>
      </c>
      <c r="G331" s="211">
        <f>F331/E331*100</f>
        <v>100</v>
      </c>
      <c r="H331" s="35"/>
    </row>
    <row r="332" spans="2:8" ht="63">
      <c r="B332" s="5" t="s">
        <v>212</v>
      </c>
      <c r="C332" s="6" t="s">
        <v>140</v>
      </c>
      <c r="D332" s="136" t="s">
        <v>61</v>
      </c>
      <c r="E332" s="31">
        <f t="shared" si="40"/>
        <v>1</v>
      </c>
      <c r="F332" s="31">
        <f t="shared" si="40"/>
        <v>1</v>
      </c>
      <c r="G332" s="211">
        <f t="shared" ref="G332:G351" si="41">F332/E332*100</f>
        <v>100</v>
      </c>
      <c r="H332" s="35"/>
    </row>
    <row r="333" spans="2:8">
      <c r="B333" s="5" t="s">
        <v>62</v>
      </c>
      <c r="C333" s="6" t="s">
        <v>141</v>
      </c>
      <c r="D333" s="136" t="s">
        <v>61</v>
      </c>
      <c r="E333" s="31">
        <f t="shared" si="40"/>
        <v>94</v>
      </c>
      <c r="F333" s="31">
        <f t="shared" si="40"/>
        <v>94</v>
      </c>
      <c r="G333" s="211">
        <f t="shared" si="41"/>
        <v>100</v>
      </c>
      <c r="H333" s="35"/>
    </row>
    <row r="334" spans="2:8" ht="63">
      <c r="B334" s="5" t="s">
        <v>219</v>
      </c>
      <c r="C334" s="6" t="s">
        <v>86</v>
      </c>
      <c r="D334" s="136" t="s">
        <v>61</v>
      </c>
      <c r="E334" s="31">
        <f t="shared" si="40"/>
        <v>1</v>
      </c>
      <c r="F334" s="31">
        <f t="shared" si="40"/>
        <v>1</v>
      </c>
      <c r="G334" s="211">
        <f t="shared" si="41"/>
        <v>100</v>
      </c>
      <c r="H334" s="35"/>
    </row>
    <row r="335" spans="2:8" ht="31.5">
      <c r="B335" s="216" t="s">
        <v>18</v>
      </c>
      <c r="C335" s="204" t="s">
        <v>64</v>
      </c>
      <c r="D335" s="205" t="s">
        <v>61</v>
      </c>
      <c r="E335" s="227">
        <f>E336+E340+E344+E348+E352</f>
        <v>4585</v>
      </c>
      <c r="F335" s="227">
        <f>F336+F340+F344+F348+F352</f>
        <v>4585</v>
      </c>
      <c r="G335" s="211">
        <f t="shared" si="41"/>
        <v>100</v>
      </c>
      <c r="H335" s="210"/>
    </row>
    <row r="336" spans="2:8" ht="31.5">
      <c r="B336" s="5" t="s">
        <v>65</v>
      </c>
      <c r="C336" s="6" t="s">
        <v>66</v>
      </c>
      <c r="D336" s="136" t="s">
        <v>61</v>
      </c>
      <c r="E336" s="217">
        <f>E337+E338+E339</f>
        <v>1734</v>
      </c>
      <c r="F336" s="217">
        <f>F337+F338+F339</f>
        <v>1734</v>
      </c>
      <c r="G336" s="211">
        <f t="shared" si="41"/>
        <v>100</v>
      </c>
      <c r="H336" s="35"/>
    </row>
    <row r="337" spans="2:8">
      <c r="B337" s="5"/>
      <c r="C337" s="37" t="s">
        <v>67</v>
      </c>
      <c r="D337" s="136" t="s">
        <v>61</v>
      </c>
      <c r="E337" s="38">
        <f t="shared" ref="E337:F339" si="42">E293+E249+E205+E161+E117+E73</f>
        <v>781</v>
      </c>
      <c r="F337" s="38">
        <f t="shared" si="42"/>
        <v>781</v>
      </c>
      <c r="G337" s="211">
        <f t="shared" si="41"/>
        <v>100</v>
      </c>
      <c r="H337" s="35"/>
    </row>
    <row r="338" spans="2:8">
      <c r="B338" s="5"/>
      <c r="C338" s="37" t="s">
        <v>68</v>
      </c>
      <c r="D338" s="136" t="s">
        <v>61</v>
      </c>
      <c r="E338" s="38">
        <f t="shared" si="42"/>
        <v>837</v>
      </c>
      <c r="F338" s="38">
        <f t="shared" si="42"/>
        <v>837</v>
      </c>
      <c r="G338" s="211">
        <f t="shared" si="41"/>
        <v>100</v>
      </c>
      <c r="H338" s="35"/>
    </row>
    <row r="339" spans="2:8">
      <c r="B339" s="5"/>
      <c r="C339" s="37" t="s">
        <v>69</v>
      </c>
      <c r="D339" s="136" t="s">
        <v>61</v>
      </c>
      <c r="E339" s="38">
        <f t="shared" si="42"/>
        <v>116</v>
      </c>
      <c r="F339" s="38">
        <f t="shared" si="42"/>
        <v>116</v>
      </c>
      <c r="G339" s="211">
        <f t="shared" si="41"/>
        <v>100</v>
      </c>
      <c r="H339" s="35"/>
    </row>
    <row r="340" spans="2:8" ht="31.5">
      <c r="B340" s="5" t="s">
        <v>70</v>
      </c>
      <c r="C340" s="6" t="s">
        <v>71</v>
      </c>
      <c r="D340" s="136" t="s">
        <v>61</v>
      </c>
      <c r="E340" s="38">
        <f>E341+E342+E343</f>
        <v>6</v>
      </c>
      <c r="F340" s="38">
        <f>F341+F342+F343</f>
        <v>6</v>
      </c>
      <c r="G340" s="211">
        <f t="shared" si="41"/>
        <v>100</v>
      </c>
      <c r="H340" s="39"/>
    </row>
    <row r="341" spans="2:8">
      <c r="B341" s="5"/>
      <c r="C341" s="37" t="s">
        <v>67</v>
      </c>
      <c r="D341" s="136" t="s">
        <v>61</v>
      </c>
      <c r="E341" s="38">
        <f t="shared" ref="E341:F343" si="43">E297+E253+E209+E165+E121+E77</f>
        <v>4</v>
      </c>
      <c r="F341" s="38">
        <f t="shared" si="43"/>
        <v>4</v>
      </c>
      <c r="G341" s="211">
        <f t="shared" si="41"/>
        <v>100</v>
      </c>
      <c r="H341" s="39"/>
    </row>
    <row r="342" spans="2:8">
      <c r="B342" s="5"/>
      <c r="C342" s="37" t="s">
        <v>68</v>
      </c>
      <c r="D342" s="136" t="s">
        <v>61</v>
      </c>
      <c r="E342" s="38">
        <f t="shared" si="43"/>
        <v>1</v>
      </c>
      <c r="F342" s="38">
        <f t="shared" si="43"/>
        <v>1</v>
      </c>
      <c r="G342" s="211">
        <f t="shared" si="41"/>
        <v>100</v>
      </c>
      <c r="H342" s="39"/>
    </row>
    <row r="343" spans="2:8">
      <c r="B343" s="5"/>
      <c r="C343" s="37" t="s">
        <v>69</v>
      </c>
      <c r="D343" s="136" t="s">
        <v>61</v>
      </c>
      <c r="E343" s="38">
        <f t="shared" si="43"/>
        <v>1</v>
      </c>
      <c r="F343" s="38">
        <f t="shared" si="43"/>
        <v>1</v>
      </c>
      <c r="G343" s="211">
        <f t="shared" si="41"/>
        <v>100</v>
      </c>
      <c r="H343" s="39"/>
    </row>
    <row r="344" spans="2:8" ht="47.25">
      <c r="B344" s="5" t="s">
        <v>72</v>
      </c>
      <c r="C344" s="6" t="s">
        <v>73</v>
      </c>
      <c r="D344" s="136" t="s">
        <v>61</v>
      </c>
      <c r="E344" s="217">
        <f>E345+E346+E347</f>
        <v>1308</v>
      </c>
      <c r="F344" s="217">
        <f>F345+F346+F347</f>
        <v>1308</v>
      </c>
      <c r="G344" s="211">
        <f t="shared" si="41"/>
        <v>100</v>
      </c>
      <c r="H344" s="39"/>
    </row>
    <row r="345" spans="2:8">
      <c r="B345" s="5"/>
      <c r="C345" s="37" t="s">
        <v>67</v>
      </c>
      <c r="D345" s="136" t="s">
        <v>61</v>
      </c>
      <c r="E345" s="38">
        <f t="shared" ref="E345:F347" si="44">E301+E257+E213+E169+E125+E81</f>
        <v>0</v>
      </c>
      <c r="F345" s="38">
        <f t="shared" si="44"/>
        <v>0</v>
      </c>
      <c r="G345" s="211" t="e">
        <f t="shared" si="41"/>
        <v>#DIV/0!</v>
      </c>
      <c r="H345" s="39"/>
    </row>
    <row r="346" spans="2:8">
      <c r="B346" s="5"/>
      <c r="C346" s="37" t="s">
        <v>68</v>
      </c>
      <c r="D346" s="136" t="s">
        <v>61</v>
      </c>
      <c r="E346" s="38">
        <f t="shared" si="44"/>
        <v>1120</v>
      </c>
      <c r="F346" s="38">
        <f t="shared" si="44"/>
        <v>1120</v>
      </c>
      <c r="G346" s="211">
        <f t="shared" si="41"/>
        <v>100</v>
      </c>
      <c r="H346" s="39"/>
    </row>
    <row r="347" spans="2:8">
      <c r="B347" s="5"/>
      <c r="C347" s="37" t="s">
        <v>69</v>
      </c>
      <c r="D347" s="136" t="s">
        <v>61</v>
      </c>
      <c r="E347" s="38">
        <f t="shared" si="44"/>
        <v>188</v>
      </c>
      <c r="F347" s="38">
        <f t="shared" si="44"/>
        <v>188</v>
      </c>
      <c r="G347" s="211">
        <f t="shared" si="41"/>
        <v>100</v>
      </c>
      <c r="H347" s="39"/>
    </row>
    <row r="348" spans="2:8" ht="47.25">
      <c r="B348" s="5" t="s">
        <v>74</v>
      </c>
      <c r="C348" s="6" t="s">
        <v>75</v>
      </c>
      <c r="D348" s="136" t="s">
        <v>61</v>
      </c>
      <c r="E348" s="217">
        <f>E349+E350+E351</f>
        <v>1478</v>
      </c>
      <c r="F348" s="217">
        <f>F349+F350+F351</f>
        <v>1478</v>
      </c>
      <c r="G348" s="211">
        <f t="shared" si="41"/>
        <v>100</v>
      </c>
      <c r="H348" s="39"/>
    </row>
    <row r="349" spans="2:8">
      <c r="B349" s="5"/>
      <c r="C349" s="37" t="s">
        <v>67</v>
      </c>
      <c r="D349" s="136" t="s">
        <v>61</v>
      </c>
      <c r="E349" s="38">
        <f t="shared" ref="E349:F351" si="45">E305+E261+E217+E173+E129+E85</f>
        <v>1478</v>
      </c>
      <c r="F349" s="38">
        <f t="shared" si="45"/>
        <v>1478</v>
      </c>
      <c r="G349" s="211">
        <f t="shared" si="41"/>
        <v>100</v>
      </c>
      <c r="H349" s="39"/>
    </row>
    <row r="350" spans="2:8">
      <c r="B350" s="5"/>
      <c r="C350" s="37" t="s">
        <v>68</v>
      </c>
      <c r="D350" s="136" t="s">
        <v>61</v>
      </c>
      <c r="E350" s="38">
        <f t="shared" si="45"/>
        <v>0</v>
      </c>
      <c r="F350" s="38">
        <f t="shared" si="45"/>
        <v>0</v>
      </c>
      <c r="G350" s="211" t="e">
        <f t="shared" si="41"/>
        <v>#DIV/0!</v>
      </c>
      <c r="H350" s="39"/>
    </row>
    <row r="351" spans="2:8">
      <c r="B351" s="5"/>
      <c r="C351" s="37" t="s">
        <v>69</v>
      </c>
      <c r="D351" s="136" t="s">
        <v>61</v>
      </c>
      <c r="E351" s="38">
        <f t="shared" si="45"/>
        <v>0</v>
      </c>
      <c r="F351" s="38">
        <f t="shared" si="45"/>
        <v>0</v>
      </c>
      <c r="G351" s="211" t="e">
        <f t="shared" si="41"/>
        <v>#DIV/0!</v>
      </c>
      <c r="H351" s="39"/>
    </row>
    <row r="352" spans="2:8" ht="47.25">
      <c r="B352" s="5" t="s">
        <v>213</v>
      </c>
      <c r="C352" s="6" t="s">
        <v>84</v>
      </c>
      <c r="D352" s="136" t="s">
        <v>61</v>
      </c>
      <c r="E352" s="218">
        <f>E353+E354+E355</f>
        <v>59</v>
      </c>
      <c r="F352" s="219">
        <f>F353+F354+F355</f>
        <v>59</v>
      </c>
      <c r="G352" s="211">
        <f t="shared" si="34"/>
        <v>100</v>
      </c>
      <c r="H352" s="39"/>
    </row>
    <row r="353" spans="2:8">
      <c r="B353" s="5"/>
      <c r="C353" s="37" t="s">
        <v>67</v>
      </c>
      <c r="D353" s="136" t="s">
        <v>61</v>
      </c>
      <c r="E353" s="38">
        <f t="shared" ref="E353:F355" si="46">E309+E265+E221+E177+E133+E89</f>
        <v>0</v>
      </c>
      <c r="F353" s="38">
        <f t="shared" si="46"/>
        <v>0</v>
      </c>
      <c r="G353" s="211" t="e">
        <f t="shared" si="34"/>
        <v>#DIV/0!</v>
      </c>
      <c r="H353" s="39"/>
    </row>
    <row r="354" spans="2:8">
      <c r="B354" s="5"/>
      <c r="C354" s="37" t="s">
        <v>68</v>
      </c>
      <c r="D354" s="136" t="s">
        <v>61</v>
      </c>
      <c r="E354" s="38">
        <f t="shared" si="46"/>
        <v>53</v>
      </c>
      <c r="F354" s="38">
        <f t="shared" si="46"/>
        <v>53</v>
      </c>
      <c r="G354" s="211">
        <f t="shared" si="34"/>
        <v>100</v>
      </c>
      <c r="H354" s="39"/>
    </row>
    <row r="355" spans="2:8">
      <c r="B355" s="5"/>
      <c r="C355" s="37" t="s">
        <v>69</v>
      </c>
      <c r="D355" s="136" t="s">
        <v>61</v>
      </c>
      <c r="E355" s="38">
        <f t="shared" si="46"/>
        <v>6</v>
      </c>
      <c r="F355" s="38">
        <f t="shared" si="46"/>
        <v>6</v>
      </c>
      <c r="G355" s="211">
        <f t="shared" si="34"/>
        <v>100</v>
      </c>
      <c r="H355" s="39"/>
    </row>
    <row r="356" spans="2:8" ht="31.5">
      <c r="B356" s="160" t="s">
        <v>21</v>
      </c>
      <c r="C356" s="144" t="s">
        <v>31</v>
      </c>
      <c r="D356" s="157" t="s">
        <v>76</v>
      </c>
      <c r="E356" s="163">
        <f>E357</f>
        <v>1725</v>
      </c>
      <c r="F356" s="163">
        <f>F357</f>
        <v>1725</v>
      </c>
      <c r="G356" s="158">
        <f t="shared" si="34"/>
        <v>100</v>
      </c>
      <c r="H356" s="164"/>
    </row>
    <row r="357" spans="2:8">
      <c r="B357" s="148" t="s">
        <v>77</v>
      </c>
      <c r="C357" s="149" t="s">
        <v>142</v>
      </c>
      <c r="D357" s="150" t="s">
        <v>76</v>
      </c>
      <c r="E357" s="154">
        <f>E313+E269+E225+E181+E137+E93</f>
        <v>1725</v>
      </c>
      <c r="F357" s="154">
        <f>F313+F269+F225+F181+F137+F93</f>
        <v>1725</v>
      </c>
      <c r="G357" s="152">
        <f t="shared" si="34"/>
        <v>100</v>
      </c>
      <c r="H357" s="164"/>
    </row>
    <row r="358" spans="2:8">
      <c r="B358" s="160" t="s">
        <v>24</v>
      </c>
      <c r="C358" s="144" t="s">
        <v>78</v>
      </c>
      <c r="D358" s="157" t="s">
        <v>5</v>
      </c>
      <c r="E358" s="163">
        <f>E359</f>
        <v>5283</v>
      </c>
      <c r="F358" s="163">
        <f>F359</f>
        <v>5283</v>
      </c>
      <c r="G358" s="158">
        <f t="shared" si="34"/>
        <v>100</v>
      </c>
      <c r="H358" s="126"/>
    </row>
    <row r="359" spans="2:8">
      <c r="B359" s="148" t="s">
        <v>214</v>
      </c>
      <c r="C359" s="149" t="s">
        <v>79</v>
      </c>
      <c r="D359" s="150" t="s">
        <v>5</v>
      </c>
      <c r="E359" s="154">
        <f>E315+E271+E227+E183+E139+E95</f>
        <v>5283</v>
      </c>
      <c r="F359" s="154">
        <f>F315+F271+F227+F183+F139+F95</f>
        <v>5283</v>
      </c>
      <c r="G359" s="152">
        <f t="shared" si="34"/>
        <v>100</v>
      </c>
      <c r="H359" s="126"/>
    </row>
    <row r="360" spans="2:8">
      <c r="B360" s="165" t="s">
        <v>216</v>
      </c>
      <c r="C360" s="13" t="s">
        <v>88</v>
      </c>
      <c r="D360" s="166"/>
      <c r="E360" s="14">
        <f>E361+E365</f>
        <v>450</v>
      </c>
      <c r="F360" s="14">
        <f>F361+F365</f>
        <v>450</v>
      </c>
      <c r="G360" s="167">
        <f>F360/E360*100</f>
        <v>100</v>
      </c>
      <c r="H360" s="16"/>
    </row>
    <row r="361" spans="2:8">
      <c r="B361" s="203" t="s">
        <v>4</v>
      </c>
      <c r="C361" s="204" t="s">
        <v>89</v>
      </c>
      <c r="D361" s="205" t="s">
        <v>90</v>
      </c>
      <c r="E361" s="206">
        <f>E362+E363+E364</f>
        <v>225</v>
      </c>
      <c r="F361" s="206">
        <f>F362+F363+F364</f>
        <v>225</v>
      </c>
      <c r="G361" s="207">
        <f>F361/E361*100</f>
        <v>100</v>
      </c>
      <c r="H361" s="208"/>
    </row>
    <row r="362" spans="2:8">
      <c r="B362" s="5" t="s">
        <v>26</v>
      </c>
      <c r="C362" s="6" t="s">
        <v>91</v>
      </c>
      <c r="D362" s="136" t="s">
        <v>90</v>
      </c>
      <c r="E362" s="7">
        <v>225</v>
      </c>
      <c r="F362" s="7">
        <v>225</v>
      </c>
      <c r="G362" s="209">
        <f t="shared" ref="G362:G367" si="47">F362/E362*100</f>
        <v>100</v>
      </c>
      <c r="H362" s="35"/>
    </row>
    <row r="363" spans="2:8">
      <c r="B363" s="5" t="s">
        <v>27</v>
      </c>
      <c r="C363" s="6" t="s">
        <v>92</v>
      </c>
      <c r="D363" s="136" t="s">
        <v>90</v>
      </c>
      <c r="E363" s="7">
        <v>0</v>
      </c>
      <c r="F363" s="7">
        <v>0</v>
      </c>
      <c r="G363" s="209" t="e">
        <f t="shared" si="47"/>
        <v>#DIV/0!</v>
      </c>
      <c r="H363" s="35"/>
    </row>
    <row r="364" spans="2:8">
      <c r="B364" s="5" t="s">
        <v>28</v>
      </c>
      <c r="C364" s="6" t="s">
        <v>94</v>
      </c>
      <c r="D364" s="136" t="s">
        <v>90</v>
      </c>
      <c r="E364" s="7">
        <v>0</v>
      </c>
      <c r="F364" s="7">
        <v>0</v>
      </c>
      <c r="G364" s="209" t="e">
        <f t="shared" si="47"/>
        <v>#DIV/0!</v>
      </c>
      <c r="H364" s="35"/>
    </row>
    <row r="365" spans="2:8" ht="31.5">
      <c r="B365" s="203" t="s">
        <v>95</v>
      </c>
      <c r="C365" s="204" t="s">
        <v>96</v>
      </c>
      <c r="D365" s="205" t="s">
        <v>61</v>
      </c>
      <c r="E365" s="206">
        <f>E366+E367+E368+E369</f>
        <v>225</v>
      </c>
      <c r="F365" s="206">
        <f>F366+F367+F368+F369</f>
        <v>225</v>
      </c>
      <c r="G365" s="207">
        <f t="shared" si="47"/>
        <v>100</v>
      </c>
      <c r="H365" s="35"/>
    </row>
    <row r="366" spans="2:8">
      <c r="B366" s="5" t="s">
        <v>97</v>
      </c>
      <c r="C366" s="6" t="s">
        <v>98</v>
      </c>
      <c r="D366" s="136" t="s">
        <v>61</v>
      </c>
      <c r="E366" s="7">
        <v>35</v>
      </c>
      <c r="F366" s="7">
        <v>35</v>
      </c>
      <c r="G366" s="209">
        <f t="shared" si="47"/>
        <v>100</v>
      </c>
      <c r="H366" s="35"/>
    </row>
    <row r="367" spans="2:8">
      <c r="B367" s="5" t="s">
        <v>99</v>
      </c>
      <c r="C367" s="6" t="s">
        <v>100</v>
      </c>
      <c r="D367" s="136" t="s">
        <v>61</v>
      </c>
      <c r="E367" s="7">
        <v>167</v>
      </c>
      <c r="F367" s="7">
        <v>167</v>
      </c>
      <c r="G367" s="209">
        <f t="shared" si="47"/>
        <v>100</v>
      </c>
      <c r="H367" s="35"/>
    </row>
    <row r="368" spans="2:8" ht="31.5">
      <c r="B368" s="5" t="s">
        <v>223</v>
      </c>
      <c r="C368" s="6" t="s">
        <v>202</v>
      </c>
      <c r="D368" s="136" t="s">
        <v>61</v>
      </c>
      <c r="E368" s="7"/>
      <c r="F368" s="7"/>
      <c r="G368" s="209"/>
      <c r="H368" s="35"/>
    </row>
    <row r="369" spans="2:8" ht="31.5">
      <c r="B369" s="5" t="s">
        <v>224</v>
      </c>
      <c r="C369" s="6" t="s">
        <v>102</v>
      </c>
      <c r="D369" s="136" t="s">
        <v>61</v>
      </c>
      <c r="E369" s="7">
        <v>23</v>
      </c>
      <c r="F369" s="7">
        <v>23</v>
      </c>
      <c r="G369" s="209">
        <f t="shared" ref="G369" si="48">F369/E369*100</f>
        <v>100</v>
      </c>
      <c r="H369" s="35"/>
    </row>
    <row r="370" spans="2:8">
      <c r="B370" s="165" t="s">
        <v>217</v>
      </c>
      <c r="C370" s="13" t="s">
        <v>103</v>
      </c>
      <c r="D370" s="168"/>
      <c r="E370" s="14">
        <f>E371+E375</f>
        <v>724</v>
      </c>
      <c r="F370" s="14">
        <f>F371+F375</f>
        <v>724</v>
      </c>
      <c r="G370" s="167">
        <f>F370/E370*100</f>
        <v>100</v>
      </c>
      <c r="H370" s="16"/>
    </row>
    <row r="371" spans="2:8">
      <c r="B371" s="203" t="s">
        <v>4</v>
      </c>
      <c r="C371" s="204" t="s">
        <v>89</v>
      </c>
      <c r="D371" s="205" t="s">
        <v>90</v>
      </c>
      <c r="E371" s="206">
        <f>E372+E373+E374</f>
        <v>362</v>
      </c>
      <c r="F371" s="206">
        <f>F372+F373+F374</f>
        <v>362</v>
      </c>
      <c r="G371" s="207">
        <f>F371/E371*100</f>
        <v>100</v>
      </c>
      <c r="H371" s="208"/>
    </row>
    <row r="372" spans="2:8">
      <c r="B372" s="5" t="s">
        <v>26</v>
      </c>
      <c r="C372" s="6" t="s">
        <v>91</v>
      </c>
      <c r="D372" s="136" t="s">
        <v>90</v>
      </c>
      <c r="E372" s="7">
        <v>338</v>
      </c>
      <c r="F372" s="7">
        <v>338</v>
      </c>
      <c r="G372" s="209">
        <f t="shared" ref="G372:G377" si="49">F372/E372*100</f>
        <v>100</v>
      </c>
      <c r="H372" s="35"/>
    </row>
    <row r="373" spans="2:8">
      <c r="B373" s="5" t="s">
        <v>27</v>
      </c>
      <c r="C373" s="6" t="s">
        <v>92</v>
      </c>
      <c r="D373" s="136" t="s">
        <v>90</v>
      </c>
      <c r="E373" s="7">
        <v>22</v>
      </c>
      <c r="F373" s="7">
        <v>22</v>
      </c>
      <c r="G373" s="209">
        <f t="shared" si="49"/>
        <v>100</v>
      </c>
      <c r="H373" s="35"/>
    </row>
    <row r="374" spans="2:8">
      <c r="B374" s="5" t="s">
        <v>28</v>
      </c>
      <c r="C374" s="6" t="s">
        <v>94</v>
      </c>
      <c r="D374" s="136" t="s">
        <v>90</v>
      </c>
      <c r="E374" s="7">
        <v>2</v>
      </c>
      <c r="F374" s="7">
        <v>2</v>
      </c>
      <c r="G374" s="209">
        <f t="shared" si="49"/>
        <v>100</v>
      </c>
      <c r="H374" s="35"/>
    </row>
    <row r="375" spans="2:8" ht="31.5">
      <c r="B375" s="203" t="s">
        <v>95</v>
      </c>
      <c r="C375" s="204" t="s">
        <v>96</v>
      </c>
      <c r="D375" s="205" t="s">
        <v>61</v>
      </c>
      <c r="E375" s="206">
        <f>E376+E377+E378+E379</f>
        <v>362</v>
      </c>
      <c r="F375" s="206">
        <f>F376+F377+F378+F379</f>
        <v>362</v>
      </c>
      <c r="G375" s="207">
        <f t="shared" si="49"/>
        <v>100</v>
      </c>
      <c r="H375" s="210"/>
    </row>
    <row r="376" spans="2:8">
      <c r="B376" s="5" t="s">
        <v>97</v>
      </c>
      <c r="C376" s="6" t="s">
        <v>98</v>
      </c>
      <c r="D376" s="136" t="s">
        <v>61</v>
      </c>
      <c r="E376" s="7">
        <v>48</v>
      </c>
      <c r="F376" s="7">
        <v>48</v>
      </c>
      <c r="G376" s="209">
        <f t="shared" si="49"/>
        <v>100</v>
      </c>
      <c r="H376" s="35"/>
    </row>
    <row r="377" spans="2:8">
      <c r="B377" s="5" t="s">
        <v>99</v>
      </c>
      <c r="C377" s="6" t="s">
        <v>100</v>
      </c>
      <c r="D377" s="136" t="s">
        <v>61</v>
      </c>
      <c r="E377" s="7">
        <v>248</v>
      </c>
      <c r="F377" s="7">
        <v>248</v>
      </c>
      <c r="G377" s="209">
        <f t="shared" si="49"/>
        <v>100</v>
      </c>
      <c r="H377" s="35"/>
    </row>
    <row r="378" spans="2:8" ht="31.5">
      <c r="B378" s="5" t="s">
        <v>223</v>
      </c>
      <c r="C378" s="6" t="s">
        <v>202</v>
      </c>
      <c r="D378" s="136" t="s">
        <v>61</v>
      </c>
      <c r="E378" s="7"/>
      <c r="F378" s="7"/>
      <c r="G378" s="209"/>
      <c r="H378" s="35"/>
    </row>
    <row r="379" spans="2:8" ht="31.5">
      <c r="B379" s="5" t="s">
        <v>224</v>
      </c>
      <c r="C379" s="6" t="s">
        <v>102</v>
      </c>
      <c r="D379" s="136" t="s">
        <v>61</v>
      </c>
      <c r="E379" s="7">
        <v>66</v>
      </c>
      <c r="F379" s="7">
        <v>66</v>
      </c>
      <c r="G379" s="209">
        <f t="shared" ref="G379" si="50">F379/E379*100</f>
        <v>100</v>
      </c>
      <c r="H379" s="35"/>
    </row>
    <row r="380" spans="2:8">
      <c r="B380" s="165" t="s">
        <v>218</v>
      </c>
      <c r="C380" s="13" t="s">
        <v>104</v>
      </c>
      <c r="D380" s="168"/>
      <c r="E380" s="14">
        <f>E381+E385</f>
        <v>554</v>
      </c>
      <c r="F380" s="14">
        <f>F381+F385</f>
        <v>552</v>
      </c>
      <c r="G380" s="167">
        <f>F380/E380*100</f>
        <v>99.638989169675085</v>
      </c>
      <c r="H380" s="16"/>
    </row>
    <row r="381" spans="2:8">
      <c r="B381" s="203" t="s">
        <v>4</v>
      </c>
      <c r="C381" s="204" t="s">
        <v>89</v>
      </c>
      <c r="D381" s="205" t="s">
        <v>90</v>
      </c>
      <c r="E381" s="206">
        <f>E382+E383+E384</f>
        <v>277</v>
      </c>
      <c r="F381" s="206">
        <f>F382+F383+F384</f>
        <v>276</v>
      </c>
      <c r="G381" s="207">
        <f>F381/E381*100</f>
        <v>99.638989169675085</v>
      </c>
      <c r="H381" s="45"/>
    </row>
    <row r="382" spans="2:8" ht="47.25">
      <c r="B382" s="5" t="s">
        <v>26</v>
      </c>
      <c r="C382" s="6" t="s">
        <v>91</v>
      </c>
      <c r="D382" s="136" t="s">
        <v>90</v>
      </c>
      <c r="E382" s="7">
        <v>272</v>
      </c>
      <c r="F382" s="7">
        <v>270</v>
      </c>
      <c r="G382" s="209">
        <f t="shared" ref="G382:G387" si="51">F382/E382*100</f>
        <v>99.264705882352942</v>
      </c>
      <c r="H382" s="35" t="s">
        <v>203</v>
      </c>
    </row>
    <row r="383" spans="2:8">
      <c r="B383" s="5" t="s">
        <v>27</v>
      </c>
      <c r="C383" s="6" t="s">
        <v>92</v>
      </c>
      <c r="D383" s="136" t="s">
        <v>90</v>
      </c>
      <c r="E383" s="7">
        <v>3</v>
      </c>
      <c r="F383" s="7">
        <v>3</v>
      </c>
      <c r="G383" s="209">
        <f t="shared" si="51"/>
        <v>100</v>
      </c>
      <c r="H383" s="35"/>
    </row>
    <row r="384" spans="2:8" ht="31.5">
      <c r="B384" s="5" t="s">
        <v>28</v>
      </c>
      <c r="C384" s="6" t="s">
        <v>94</v>
      </c>
      <c r="D384" s="136" t="s">
        <v>90</v>
      </c>
      <c r="E384" s="7">
        <v>2</v>
      </c>
      <c r="F384" s="7">
        <v>3</v>
      </c>
      <c r="G384" s="209">
        <f t="shared" si="51"/>
        <v>150</v>
      </c>
      <c r="H384" s="35" t="s">
        <v>204</v>
      </c>
    </row>
    <row r="385" spans="2:8" ht="31.5">
      <c r="B385" s="203" t="s">
        <v>95</v>
      </c>
      <c r="C385" s="204" t="s">
        <v>96</v>
      </c>
      <c r="D385" s="205" t="s">
        <v>61</v>
      </c>
      <c r="E385" s="206">
        <f>E386+E387+E388+E389</f>
        <v>277</v>
      </c>
      <c r="F385" s="206">
        <f>F386+F387+F388+F389</f>
        <v>276</v>
      </c>
      <c r="G385" s="207">
        <f t="shared" si="51"/>
        <v>99.638989169675085</v>
      </c>
      <c r="H385" s="46"/>
    </row>
    <row r="386" spans="2:8">
      <c r="B386" s="5" t="s">
        <v>97</v>
      </c>
      <c r="C386" s="6" t="s">
        <v>98</v>
      </c>
      <c r="D386" s="136" t="s">
        <v>61</v>
      </c>
      <c r="E386" s="7">
        <v>51</v>
      </c>
      <c r="F386" s="7">
        <v>51</v>
      </c>
      <c r="G386" s="209">
        <f t="shared" si="51"/>
        <v>100</v>
      </c>
      <c r="H386" s="35"/>
    </row>
    <row r="387" spans="2:8" ht="47.25">
      <c r="B387" s="5" t="s">
        <v>99</v>
      </c>
      <c r="C387" s="6" t="s">
        <v>100</v>
      </c>
      <c r="D387" s="136" t="s">
        <v>61</v>
      </c>
      <c r="E387" s="7">
        <v>213</v>
      </c>
      <c r="F387" s="7">
        <v>212</v>
      </c>
      <c r="G387" s="209">
        <f t="shared" si="51"/>
        <v>99.53051643192488</v>
      </c>
      <c r="H387" s="35" t="s">
        <v>203</v>
      </c>
    </row>
    <row r="388" spans="2:8" ht="31.5">
      <c r="B388" s="5" t="s">
        <v>223</v>
      </c>
      <c r="C388" s="6" t="s">
        <v>202</v>
      </c>
      <c r="D388" s="136" t="s">
        <v>61</v>
      </c>
      <c r="E388" s="7"/>
      <c r="F388" s="7"/>
      <c r="G388" s="209"/>
      <c r="H388" s="35"/>
    </row>
    <row r="389" spans="2:8" ht="31.5">
      <c r="B389" s="5" t="s">
        <v>224</v>
      </c>
      <c r="C389" s="6" t="s">
        <v>102</v>
      </c>
      <c r="D389" s="136" t="s">
        <v>61</v>
      </c>
      <c r="E389" s="7">
        <v>13</v>
      </c>
      <c r="F389" s="7">
        <v>13</v>
      </c>
      <c r="G389" s="209">
        <f t="shared" ref="G389" si="52">F389/E389*100</f>
        <v>100</v>
      </c>
      <c r="H389" s="35"/>
    </row>
    <row r="390" spans="2:8">
      <c r="B390" s="165" t="s">
        <v>220</v>
      </c>
      <c r="C390" s="13" t="s">
        <v>105</v>
      </c>
      <c r="D390" s="168"/>
      <c r="E390" s="14">
        <f>E391+E395</f>
        <v>636</v>
      </c>
      <c r="F390" s="14">
        <f>F391+F395</f>
        <v>636</v>
      </c>
      <c r="G390" s="167">
        <f>F390/E390*100</f>
        <v>100</v>
      </c>
      <c r="H390" s="169"/>
    </row>
    <row r="391" spans="2:8">
      <c r="B391" s="203" t="s">
        <v>4</v>
      </c>
      <c r="C391" s="204" t="s">
        <v>89</v>
      </c>
      <c r="D391" s="205" t="s">
        <v>90</v>
      </c>
      <c r="E391" s="206">
        <f>E392+E393+E394</f>
        <v>318</v>
      </c>
      <c r="F391" s="206">
        <f>F392+F393+F394</f>
        <v>318</v>
      </c>
      <c r="G391" s="207">
        <f>F391/E391*100</f>
        <v>100</v>
      </c>
      <c r="H391" s="208"/>
    </row>
    <row r="392" spans="2:8">
      <c r="B392" s="5" t="s">
        <v>26</v>
      </c>
      <c r="C392" s="6" t="s">
        <v>91</v>
      </c>
      <c r="D392" s="136" t="s">
        <v>90</v>
      </c>
      <c r="E392" s="7">
        <v>317</v>
      </c>
      <c r="F392" s="7">
        <v>317</v>
      </c>
      <c r="G392" s="209">
        <f t="shared" ref="G392:G397" si="53">F392/E392*100</f>
        <v>100</v>
      </c>
      <c r="H392" s="35"/>
    </row>
    <row r="393" spans="2:8">
      <c r="B393" s="5" t="s">
        <v>27</v>
      </c>
      <c r="C393" s="6" t="s">
        <v>92</v>
      </c>
      <c r="D393" s="136" t="s">
        <v>90</v>
      </c>
      <c r="E393" s="7"/>
      <c r="F393" s="7"/>
      <c r="G393" s="209" t="e">
        <f t="shared" si="53"/>
        <v>#DIV/0!</v>
      </c>
      <c r="H393" s="35"/>
    </row>
    <row r="394" spans="2:8">
      <c r="B394" s="5" t="s">
        <v>28</v>
      </c>
      <c r="C394" s="6" t="s">
        <v>94</v>
      </c>
      <c r="D394" s="136" t="s">
        <v>90</v>
      </c>
      <c r="E394" s="7">
        <v>1</v>
      </c>
      <c r="F394" s="7">
        <v>1</v>
      </c>
      <c r="G394" s="209">
        <f t="shared" si="53"/>
        <v>100</v>
      </c>
      <c r="H394" s="35"/>
    </row>
    <row r="395" spans="2:8" ht="31.5">
      <c r="B395" s="203" t="s">
        <v>95</v>
      </c>
      <c r="C395" s="204" t="s">
        <v>96</v>
      </c>
      <c r="D395" s="205" t="s">
        <v>61</v>
      </c>
      <c r="E395" s="206">
        <f>E396+E397+E398+E399</f>
        <v>318</v>
      </c>
      <c r="F395" s="206">
        <f>F396+F397+F398+F399</f>
        <v>318</v>
      </c>
      <c r="G395" s="207">
        <f t="shared" si="53"/>
        <v>100</v>
      </c>
      <c r="H395" s="35"/>
    </row>
    <row r="396" spans="2:8">
      <c r="B396" s="5" t="s">
        <v>97</v>
      </c>
      <c r="C396" s="6" t="s">
        <v>98</v>
      </c>
      <c r="D396" s="136" t="s">
        <v>61</v>
      </c>
      <c r="E396" s="7">
        <v>27</v>
      </c>
      <c r="F396" s="7">
        <v>27</v>
      </c>
      <c r="G396" s="209">
        <f t="shared" si="53"/>
        <v>100</v>
      </c>
      <c r="H396" s="35"/>
    </row>
    <row r="397" spans="2:8">
      <c r="B397" s="5" t="s">
        <v>99</v>
      </c>
      <c r="C397" s="6" t="s">
        <v>100</v>
      </c>
      <c r="D397" s="136" t="s">
        <v>61</v>
      </c>
      <c r="E397" s="7">
        <v>271</v>
      </c>
      <c r="F397" s="7">
        <v>271</v>
      </c>
      <c r="G397" s="209">
        <f t="shared" si="53"/>
        <v>100</v>
      </c>
      <c r="H397" s="35"/>
    </row>
    <row r="398" spans="2:8" ht="31.5">
      <c r="B398" s="5" t="s">
        <v>223</v>
      </c>
      <c r="C398" s="6" t="s">
        <v>202</v>
      </c>
      <c r="D398" s="136" t="s">
        <v>61</v>
      </c>
      <c r="E398" s="7"/>
      <c r="F398" s="7"/>
      <c r="G398" s="209"/>
      <c r="H398" s="35"/>
    </row>
    <row r="399" spans="2:8" ht="31.5">
      <c r="B399" s="5" t="s">
        <v>224</v>
      </c>
      <c r="C399" s="6" t="s">
        <v>102</v>
      </c>
      <c r="D399" s="136" t="s">
        <v>61</v>
      </c>
      <c r="E399" s="7">
        <v>20</v>
      </c>
      <c r="F399" s="7">
        <v>20</v>
      </c>
      <c r="G399" s="209">
        <f t="shared" ref="G399" si="54">F399/E399*100</f>
        <v>100</v>
      </c>
      <c r="H399" s="35"/>
    </row>
    <row r="400" spans="2:8">
      <c r="B400" s="165" t="s">
        <v>222</v>
      </c>
      <c r="C400" s="13" t="s">
        <v>106</v>
      </c>
      <c r="D400" s="168"/>
      <c r="E400" s="14">
        <f>E401+E405</f>
        <v>866</v>
      </c>
      <c r="F400" s="14">
        <f>F401+F405</f>
        <v>862</v>
      </c>
      <c r="G400" s="167">
        <f>F400/E400*100</f>
        <v>99.53810623556582</v>
      </c>
      <c r="H400" s="169"/>
    </row>
    <row r="401" spans="2:8">
      <c r="B401" s="203" t="s">
        <v>4</v>
      </c>
      <c r="C401" s="204" t="s">
        <v>89</v>
      </c>
      <c r="D401" s="205" t="s">
        <v>90</v>
      </c>
      <c r="E401" s="206">
        <f>E402+E403+E404</f>
        <v>433</v>
      </c>
      <c r="F401" s="206">
        <f>F402+F403+F404</f>
        <v>431</v>
      </c>
      <c r="G401" s="207">
        <f>F401/E401*100</f>
        <v>99.53810623556582</v>
      </c>
      <c r="H401" s="208"/>
    </row>
    <row r="402" spans="2:8" ht="47.25">
      <c r="B402" s="5" t="s">
        <v>26</v>
      </c>
      <c r="C402" s="6" t="s">
        <v>91</v>
      </c>
      <c r="D402" s="136" t="s">
        <v>90</v>
      </c>
      <c r="E402" s="7">
        <v>424</v>
      </c>
      <c r="F402" s="7">
        <v>422</v>
      </c>
      <c r="G402" s="209">
        <f t="shared" ref="G402:G407" si="55">F402/E402*100</f>
        <v>99.528301886792448</v>
      </c>
      <c r="H402" s="35" t="s">
        <v>203</v>
      </c>
    </row>
    <row r="403" spans="2:8">
      <c r="B403" s="5" t="s">
        <v>27</v>
      </c>
      <c r="C403" s="6" t="s">
        <v>92</v>
      </c>
      <c r="D403" s="136" t="s">
        <v>90</v>
      </c>
      <c r="E403" s="7">
        <v>4</v>
      </c>
      <c r="F403" s="7">
        <v>4</v>
      </c>
      <c r="G403" s="209">
        <f t="shared" si="55"/>
        <v>100</v>
      </c>
      <c r="H403" s="35"/>
    </row>
    <row r="404" spans="2:8">
      <c r="B404" s="5" t="s">
        <v>28</v>
      </c>
      <c r="C404" s="6" t="s">
        <v>94</v>
      </c>
      <c r="D404" s="136" t="s">
        <v>90</v>
      </c>
      <c r="E404" s="7">
        <v>5</v>
      </c>
      <c r="F404" s="7">
        <v>5</v>
      </c>
      <c r="G404" s="209">
        <f t="shared" si="55"/>
        <v>100</v>
      </c>
      <c r="H404" s="35"/>
    </row>
    <row r="405" spans="2:8" ht="31.5">
      <c r="B405" s="203" t="s">
        <v>95</v>
      </c>
      <c r="C405" s="204" t="s">
        <v>96</v>
      </c>
      <c r="D405" s="205" t="s">
        <v>61</v>
      </c>
      <c r="E405" s="206">
        <f>E406+E407+E408+E409</f>
        <v>433</v>
      </c>
      <c r="F405" s="206">
        <f>F406+F407+F408+F409</f>
        <v>431</v>
      </c>
      <c r="G405" s="207">
        <f t="shared" si="55"/>
        <v>99.53810623556582</v>
      </c>
      <c r="H405" s="210"/>
    </row>
    <row r="406" spans="2:8" ht="31.5">
      <c r="B406" s="5" t="s">
        <v>97</v>
      </c>
      <c r="C406" s="6" t="s">
        <v>98</v>
      </c>
      <c r="D406" s="136" t="s">
        <v>61</v>
      </c>
      <c r="E406" s="7">
        <v>87</v>
      </c>
      <c r="F406" s="7">
        <v>92</v>
      </c>
      <c r="G406" s="209">
        <f t="shared" si="55"/>
        <v>105.74712643678161</v>
      </c>
      <c r="H406" s="35" t="s">
        <v>101</v>
      </c>
    </row>
    <row r="407" spans="2:8" ht="47.25">
      <c r="B407" s="5" t="s">
        <v>99</v>
      </c>
      <c r="C407" s="6" t="s">
        <v>100</v>
      </c>
      <c r="D407" s="136" t="s">
        <v>61</v>
      </c>
      <c r="E407" s="7">
        <v>305</v>
      </c>
      <c r="F407" s="7">
        <v>298</v>
      </c>
      <c r="G407" s="209">
        <f t="shared" si="55"/>
        <v>97.704918032786878</v>
      </c>
      <c r="H407" s="35" t="s">
        <v>203</v>
      </c>
    </row>
    <row r="408" spans="2:8" ht="31.5">
      <c r="B408" s="5" t="s">
        <v>223</v>
      </c>
      <c r="C408" s="6" t="s">
        <v>202</v>
      </c>
      <c r="D408" s="136" t="s">
        <v>61</v>
      </c>
      <c r="E408" s="7"/>
      <c r="F408" s="7"/>
      <c r="G408" s="209"/>
      <c r="H408" s="35"/>
    </row>
    <row r="409" spans="2:8" ht="31.5">
      <c r="B409" s="5" t="s">
        <v>224</v>
      </c>
      <c r="C409" s="6" t="s">
        <v>102</v>
      </c>
      <c r="D409" s="136" t="s">
        <v>61</v>
      </c>
      <c r="E409" s="7">
        <v>41</v>
      </c>
      <c r="F409" s="7">
        <v>41</v>
      </c>
      <c r="G409" s="209">
        <f t="shared" ref="G409" si="56">F409/E409*100</f>
        <v>100</v>
      </c>
      <c r="H409" s="35"/>
    </row>
    <row r="410" spans="2:8">
      <c r="B410" s="165" t="s">
        <v>225</v>
      </c>
      <c r="C410" s="13" t="s">
        <v>107</v>
      </c>
      <c r="D410" s="168"/>
      <c r="E410" s="14">
        <f>E411+E415</f>
        <v>484</v>
      </c>
      <c r="F410" s="14">
        <f>F411+F415</f>
        <v>482</v>
      </c>
      <c r="G410" s="167">
        <f>F410/E410*100</f>
        <v>99.586776859504127</v>
      </c>
      <c r="H410" s="169"/>
    </row>
    <row r="411" spans="2:8">
      <c r="B411" s="203" t="s">
        <v>4</v>
      </c>
      <c r="C411" s="204" t="s">
        <v>89</v>
      </c>
      <c r="D411" s="205" t="s">
        <v>90</v>
      </c>
      <c r="E411" s="206">
        <f>E412+E413+E414</f>
        <v>242</v>
      </c>
      <c r="F411" s="206">
        <f>F412+F413+F414</f>
        <v>241</v>
      </c>
      <c r="G411" s="207">
        <f>F411/E411*100</f>
        <v>99.586776859504127</v>
      </c>
      <c r="H411" s="208"/>
    </row>
    <row r="412" spans="2:8" ht="47.25">
      <c r="B412" s="5" t="s">
        <v>26</v>
      </c>
      <c r="C412" s="6" t="s">
        <v>91</v>
      </c>
      <c r="D412" s="136" t="s">
        <v>90</v>
      </c>
      <c r="E412" s="7">
        <v>237</v>
      </c>
      <c r="F412" s="7">
        <v>236</v>
      </c>
      <c r="G412" s="209">
        <f t="shared" ref="G412:G417" si="57">F412/E412*100</f>
        <v>99.578059071729967</v>
      </c>
      <c r="H412" s="35" t="s">
        <v>203</v>
      </c>
    </row>
    <row r="413" spans="2:8">
      <c r="B413" s="5" t="s">
        <v>27</v>
      </c>
      <c r="C413" s="6" t="s">
        <v>92</v>
      </c>
      <c r="D413" s="136" t="s">
        <v>90</v>
      </c>
      <c r="E413" s="7">
        <v>2</v>
      </c>
      <c r="F413" s="7">
        <v>2</v>
      </c>
      <c r="G413" s="209">
        <f t="shared" si="57"/>
        <v>100</v>
      </c>
      <c r="H413" s="35"/>
    </row>
    <row r="414" spans="2:8">
      <c r="B414" s="5" t="s">
        <v>28</v>
      </c>
      <c r="C414" s="6" t="s">
        <v>94</v>
      </c>
      <c r="D414" s="136" t="s">
        <v>90</v>
      </c>
      <c r="E414" s="7">
        <v>3</v>
      </c>
      <c r="F414" s="7">
        <v>3</v>
      </c>
      <c r="G414" s="209">
        <f t="shared" si="57"/>
        <v>100</v>
      </c>
      <c r="H414" s="35"/>
    </row>
    <row r="415" spans="2:8" ht="31.5">
      <c r="B415" s="203" t="s">
        <v>95</v>
      </c>
      <c r="C415" s="204" t="s">
        <v>96</v>
      </c>
      <c r="D415" s="205" t="s">
        <v>61</v>
      </c>
      <c r="E415" s="206">
        <f>E416+E417+E418+E419</f>
        <v>242</v>
      </c>
      <c r="F415" s="206">
        <f>F416+F417+F418+F419</f>
        <v>241</v>
      </c>
      <c r="G415" s="207">
        <f t="shared" si="57"/>
        <v>99.586776859504127</v>
      </c>
      <c r="H415" s="210"/>
    </row>
    <row r="416" spans="2:8" ht="47.25">
      <c r="B416" s="5" t="s">
        <v>97</v>
      </c>
      <c r="C416" s="6" t="s">
        <v>98</v>
      </c>
      <c r="D416" s="136" t="s">
        <v>61</v>
      </c>
      <c r="E416" s="7">
        <v>20</v>
      </c>
      <c r="F416" s="7">
        <v>19</v>
      </c>
      <c r="G416" s="209">
        <f t="shared" si="57"/>
        <v>95</v>
      </c>
      <c r="H416" s="35" t="s">
        <v>203</v>
      </c>
    </row>
    <row r="417" spans="2:8">
      <c r="B417" s="5" t="s">
        <v>99</v>
      </c>
      <c r="C417" s="6" t="s">
        <v>100</v>
      </c>
      <c r="D417" s="136" t="s">
        <v>61</v>
      </c>
      <c r="E417" s="7">
        <v>201</v>
      </c>
      <c r="F417" s="7">
        <v>201</v>
      </c>
      <c r="G417" s="209">
        <f t="shared" si="57"/>
        <v>100</v>
      </c>
      <c r="H417" s="35"/>
    </row>
    <row r="418" spans="2:8" ht="31.5">
      <c r="B418" s="5" t="s">
        <v>223</v>
      </c>
      <c r="C418" s="6" t="s">
        <v>202</v>
      </c>
      <c r="D418" s="136" t="s">
        <v>61</v>
      </c>
      <c r="E418" s="7"/>
      <c r="F418" s="7"/>
      <c r="G418" s="209"/>
      <c r="H418" s="35"/>
    </row>
    <row r="419" spans="2:8" ht="31.5">
      <c r="B419" s="5" t="s">
        <v>224</v>
      </c>
      <c r="C419" s="6" t="s">
        <v>102</v>
      </c>
      <c r="D419" s="136" t="s">
        <v>61</v>
      </c>
      <c r="E419" s="7">
        <v>21</v>
      </c>
      <c r="F419" s="7">
        <v>21</v>
      </c>
      <c r="G419" s="209">
        <f t="shared" ref="G419" si="58">F419/E419*100</f>
        <v>100</v>
      </c>
      <c r="H419" s="35"/>
    </row>
    <row r="420" spans="2:8">
      <c r="B420" s="165" t="s">
        <v>226</v>
      </c>
      <c r="C420" s="13" t="s">
        <v>205</v>
      </c>
      <c r="D420" s="168"/>
      <c r="E420" s="14">
        <f>E421+E424</f>
        <v>0</v>
      </c>
      <c r="F420" s="14">
        <f>F421+F424</f>
        <v>0</v>
      </c>
      <c r="G420" s="167" t="e">
        <f>F420/E420*100</f>
        <v>#DIV/0!</v>
      </c>
      <c r="H420" s="169"/>
    </row>
    <row r="421" spans="2:8">
      <c r="B421" s="203" t="s">
        <v>4</v>
      </c>
      <c r="C421" s="204" t="s">
        <v>89</v>
      </c>
      <c r="D421" s="205" t="s">
        <v>90</v>
      </c>
      <c r="E421" s="206">
        <f>E422+E423</f>
        <v>0</v>
      </c>
      <c r="F421" s="206">
        <f>F422+F423</f>
        <v>0</v>
      </c>
      <c r="G421" s="207" t="e">
        <f>F421/E421*100</f>
        <v>#DIV/0!</v>
      </c>
      <c r="H421" s="208"/>
    </row>
    <row r="422" spans="2:8">
      <c r="B422" s="5" t="s">
        <v>26</v>
      </c>
      <c r="C422" s="6" t="s">
        <v>91</v>
      </c>
      <c r="D422" s="136" t="s">
        <v>90</v>
      </c>
      <c r="E422" s="7"/>
      <c r="F422" s="7"/>
      <c r="G422" s="209" t="e">
        <f t="shared" ref="G422:G426" si="59">F422/E422*100</f>
        <v>#DIV/0!</v>
      </c>
      <c r="H422" s="35"/>
    </row>
    <row r="423" spans="2:8">
      <c r="B423" s="5" t="s">
        <v>27</v>
      </c>
      <c r="C423" s="6" t="s">
        <v>92</v>
      </c>
      <c r="D423" s="136" t="s">
        <v>90</v>
      </c>
      <c r="E423" s="7"/>
      <c r="F423" s="7"/>
      <c r="G423" s="209" t="e">
        <f t="shared" si="59"/>
        <v>#DIV/0!</v>
      </c>
      <c r="H423" s="35"/>
    </row>
    <row r="424" spans="2:8" ht="31.5">
      <c r="B424" s="203" t="s">
        <v>95</v>
      </c>
      <c r="C424" s="204" t="s">
        <v>96</v>
      </c>
      <c r="D424" s="205" t="s">
        <v>61</v>
      </c>
      <c r="E424" s="206"/>
      <c r="F424" s="206">
        <f>F425+F426+F427+F428</f>
        <v>0</v>
      </c>
      <c r="G424" s="207" t="e">
        <f t="shared" si="59"/>
        <v>#DIV/0!</v>
      </c>
      <c r="H424" s="210"/>
    </row>
    <row r="425" spans="2:8">
      <c r="B425" s="5" t="s">
        <v>97</v>
      </c>
      <c r="C425" s="6" t="s">
        <v>98</v>
      </c>
      <c r="D425" s="136" t="s">
        <v>61</v>
      </c>
      <c r="E425" s="7"/>
      <c r="F425" s="7"/>
      <c r="G425" s="209" t="e">
        <f t="shared" si="59"/>
        <v>#DIV/0!</v>
      </c>
      <c r="H425" s="35"/>
    </row>
    <row r="426" spans="2:8">
      <c r="B426" s="5" t="s">
        <v>99</v>
      </c>
      <c r="C426" s="6" t="s">
        <v>100</v>
      </c>
      <c r="D426" s="136" t="s">
        <v>61</v>
      </c>
      <c r="E426" s="7"/>
      <c r="F426" s="7"/>
      <c r="G426" s="209" t="e">
        <f t="shared" si="59"/>
        <v>#DIV/0!</v>
      </c>
      <c r="H426" s="35"/>
    </row>
    <row r="427" spans="2:8" ht="31.5">
      <c r="B427" s="5" t="s">
        <v>223</v>
      </c>
      <c r="C427" s="6" t="s">
        <v>202</v>
      </c>
      <c r="D427" s="136" t="s">
        <v>61</v>
      </c>
      <c r="E427" s="7"/>
      <c r="F427" s="7"/>
      <c r="G427" s="209"/>
      <c r="H427" s="35"/>
    </row>
    <row r="428" spans="2:8" ht="31.5">
      <c r="B428" s="5" t="s">
        <v>224</v>
      </c>
      <c r="C428" s="6" t="s">
        <v>102</v>
      </c>
      <c r="D428" s="136" t="s">
        <v>61</v>
      </c>
      <c r="E428" s="7"/>
      <c r="F428" s="7"/>
      <c r="G428" s="209" t="e">
        <f t="shared" ref="G428" si="60">F428/E428*100</f>
        <v>#DIV/0!</v>
      </c>
      <c r="H428" s="35"/>
    </row>
    <row r="429" spans="2:8">
      <c r="B429" s="165" t="s">
        <v>227</v>
      </c>
      <c r="C429" s="13" t="s">
        <v>108</v>
      </c>
      <c r="D429" s="168"/>
      <c r="E429" s="14">
        <f>E430+E434</f>
        <v>434</v>
      </c>
      <c r="F429" s="14">
        <f>F430+F434</f>
        <v>434</v>
      </c>
      <c r="G429" s="167">
        <f>F429/E429*100</f>
        <v>100</v>
      </c>
      <c r="H429" s="169"/>
    </row>
    <row r="430" spans="2:8">
      <c r="B430" s="203" t="s">
        <v>4</v>
      </c>
      <c r="C430" s="204" t="s">
        <v>89</v>
      </c>
      <c r="D430" s="205" t="s">
        <v>90</v>
      </c>
      <c r="E430" s="206">
        <f>E431+E432+E433</f>
        <v>217</v>
      </c>
      <c r="F430" s="206">
        <f>F431+F432+F433</f>
        <v>217</v>
      </c>
      <c r="G430" s="207">
        <f>F430/E430*100</f>
        <v>100</v>
      </c>
      <c r="H430" s="208"/>
    </row>
    <row r="431" spans="2:8" ht="47.25">
      <c r="B431" s="5" t="s">
        <v>26</v>
      </c>
      <c r="C431" s="6" t="s">
        <v>91</v>
      </c>
      <c r="D431" s="136" t="s">
        <v>90</v>
      </c>
      <c r="E431" s="7">
        <v>212</v>
      </c>
      <c r="F431" s="7">
        <v>211</v>
      </c>
      <c r="G431" s="209">
        <f t="shared" ref="G431:G436" si="61">F431/E431*100</f>
        <v>99.528301886792448</v>
      </c>
      <c r="H431" s="35" t="s">
        <v>203</v>
      </c>
    </row>
    <row r="432" spans="2:8" ht="31.5">
      <c r="B432" s="5" t="s">
        <v>27</v>
      </c>
      <c r="C432" s="6" t="s">
        <v>92</v>
      </c>
      <c r="D432" s="136" t="s">
        <v>90</v>
      </c>
      <c r="E432" s="7">
        <v>2</v>
      </c>
      <c r="F432" s="7">
        <v>3</v>
      </c>
      <c r="G432" s="209">
        <f t="shared" si="61"/>
        <v>150</v>
      </c>
      <c r="H432" s="35" t="s">
        <v>204</v>
      </c>
    </row>
    <row r="433" spans="2:8">
      <c r="B433" s="5" t="s">
        <v>28</v>
      </c>
      <c r="C433" s="6" t="s">
        <v>94</v>
      </c>
      <c r="D433" s="136" t="s">
        <v>90</v>
      </c>
      <c r="E433" s="7">
        <v>3</v>
      </c>
      <c r="F433" s="7">
        <v>3</v>
      </c>
      <c r="G433" s="209">
        <f t="shared" si="61"/>
        <v>100</v>
      </c>
      <c r="H433" s="35"/>
    </row>
    <row r="434" spans="2:8" ht="31.5">
      <c r="B434" s="203" t="s">
        <v>95</v>
      </c>
      <c r="C434" s="204" t="s">
        <v>96</v>
      </c>
      <c r="D434" s="205" t="s">
        <v>61</v>
      </c>
      <c r="E434" s="206">
        <f>E435+E436+E437+E438</f>
        <v>217</v>
      </c>
      <c r="F434" s="206">
        <f>F435+F436+F437+F438</f>
        <v>217</v>
      </c>
      <c r="G434" s="207">
        <f t="shared" si="61"/>
        <v>100</v>
      </c>
      <c r="H434" s="210"/>
    </row>
    <row r="435" spans="2:8">
      <c r="B435" s="5" t="s">
        <v>97</v>
      </c>
      <c r="C435" s="6" t="s">
        <v>98</v>
      </c>
      <c r="D435" s="136" t="s">
        <v>61</v>
      </c>
      <c r="E435" s="7">
        <v>49</v>
      </c>
      <c r="F435" s="7">
        <v>50</v>
      </c>
      <c r="G435" s="209">
        <f t="shared" si="61"/>
        <v>102.04081632653062</v>
      </c>
      <c r="H435" s="35"/>
    </row>
    <row r="436" spans="2:8">
      <c r="B436" s="5" t="s">
        <v>99</v>
      </c>
      <c r="C436" s="6" t="s">
        <v>100</v>
      </c>
      <c r="D436" s="136" t="s">
        <v>61</v>
      </c>
      <c r="E436" s="7">
        <v>132</v>
      </c>
      <c r="F436" s="7">
        <v>132</v>
      </c>
      <c r="G436" s="209">
        <f t="shared" si="61"/>
        <v>100</v>
      </c>
      <c r="H436" s="35"/>
    </row>
    <row r="437" spans="2:8" ht="31.5">
      <c r="B437" s="5" t="s">
        <v>223</v>
      </c>
      <c r="C437" s="6" t="s">
        <v>202</v>
      </c>
      <c r="D437" s="136" t="s">
        <v>61</v>
      </c>
      <c r="E437" s="7"/>
      <c r="F437" s="7"/>
      <c r="G437" s="209"/>
      <c r="H437" s="35"/>
    </row>
    <row r="438" spans="2:8" ht="47.25">
      <c r="B438" s="5" t="s">
        <v>224</v>
      </c>
      <c r="C438" s="6" t="s">
        <v>102</v>
      </c>
      <c r="D438" s="136" t="s">
        <v>61</v>
      </c>
      <c r="E438" s="7">
        <v>36</v>
      </c>
      <c r="F438" s="7">
        <v>35</v>
      </c>
      <c r="G438" s="209">
        <f t="shared" ref="G438" si="62">F438/E438*100</f>
        <v>97.222222222222214</v>
      </c>
      <c r="H438" s="35" t="s">
        <v>203</v>
      </c>
    </row>
    <row r="439" spans="2:8">
      <c r="B439" s="165" t="s">
        <v>228</v>
      </c>
      <c r="C439" s="13" t="s">
        <v>109</v>
      </c>
      <c r="D439" s="168"/>
      <c r="E439" s="14">
        <f>E440+E444</f>
        <v>966</v>
      </c>
      <c r="F439" s="14">
        <f>F440+F444</f>
        <v>960</v>
      </c>
      <c r="G439" s="167">
        <f>F439/E439*100</f>
        <v>99.378881987577643</v>
      </c>
      <c r="H439" s="169"/>
    </row>
    <row r="440" spans="2:8">
      <c r="B440" s="203" t="s">
        <v>4</v>
      </c>
      <c r="C440" s="204" t="s">
        <v>89</v>
      </c>
      <c r="D440" s="205" t="s">
        <v>90</v>
      </c>
      <c r="E440" s="206">
        <f>E441+E442+E443</f>
        <v>483</v>
      </c>
      <c r="F440" s="206">
        <f>F441+F442+F443</f>
        <v>480</v>
      </c>
      <c r="G440" s="207">
        <f>F440/E440*100</f>
        <v>99.378881987577643</v>
      </c>
      <c r="H440" s="208"/>
    </row>
    <row r="441" spans="2:8" ht="47.25">
      <c r="B441" s="5" t="s">
        <v>26</v>
      </c>
      <c r="C441" s="6" t="s">
        <v>91</v>
      </c>
      <c r="D441" s="136" t="s">
        <v>90</v>
      </c>
      <c r="E441" s="7">
        <v>478</v>
      </c>
      <c r="F441" s="7">
        <v>475</v>
      </c>
      <c r="G441" s="209">
        <f t="shared" ref="G441:G446" si="63">F441/E441*100</f>
        <v>99.372384937238493</v>
      </c>
      <c r="H441" s="35" t="s">
        <v>203</v>
      </c>
    </row>
    <row r="442" spans="2:8">
      <c r="B442" s="5" t="s">
        <v>27</v>
      </c>
      <c r="C442" s="6" t="s">
        <v>92</v>
      </c>
      <c r="D442" s="136" t="s">
        <v>90</v>
      </c>
      <c r="E442" s="7">
        <v>2</v>
      </c>
      <c r="F442" s="7">
        <v>2</v>
      </c>
      <c r="G442" s="209">
        <f t="shared" si="63"/>
        <v>100</v>
      </c>
      <c r="H442" s="35"/>
    </row>
    <row r="443" spans="2:8">
      <c r="B443" s="5" t="s">
        <v>28</v>
      </c>
      <c r="C443" s="6" t="s">
        <v>94</v>
      </c>
      <c r="D443" s="136" t="s">
        <v>90</v>
      </c>
      <c r="E443" s="7">
        <v>3</v>
      </c>
      <c r="F443" s="7">
        <v>3</v>
      </c>
      <c r="G443" s="209">
        <f t="shared" si="63"/>
        <v>100</v>
      </c>
      <c r="H443" s="35"/>
    </row>
    <row r="444" spans="2:8" ht="31.5">
      <c r="B444" s="203" t="s">
        <v>95</v>
      </c>
      <c r="C444" s="204" t="s">
        <v>96</v>
      </c>
      <c r="D444" s="205" t="s">
        <v>61</v>
      </c>
      <c r="E444" s="206">
        <f>E445+E446+E447+E448</f>
        <v>483</v>
      </c>
      <c r="F444" s="206">
        <f>F445+F446+F447+F448</f>
        <v>480</v>
      </c>
      <c r="G444" s="207">
        <f t="shared" si="63"/>
        <v>99.378881987577643</v>
      </c>
      <c r="H444" s="210"/>
    </row>
    <row r="445" spans="2:8" ht="31.5">
      <c r="B445" s="5" t="s">
        <v>97</v>
      </c>
      <c r="C445" s="6" t="s">
        <v>98</v>
      </c>
      <c r="D445" s="136" t="s">
        <v>61</v>
      </c>
      <c r="E445" s="7">
        <v>104</v>
      </c>
      <c r="F445" s="7">
        <v>106</v>
      </c>
      <c r="G445" s="209">
        <f t="shared" si="63"/>
        <v>101.92307692307692</v>
      </c>
      <c r="H445" s="35" t="s">
        <v>101</v>
      </c>
    </row>
    <row r="446" spans="2:8" ht="47.25">
      <c r="B446" s="5" t="s">
        <v>99</v>
      </c>
      <c r="C446" s="6" t="s">
        <v>100</v>
      </c>
      <c r="D446" s="136" t="s">
        <v>61</v>
      </c>
      <c r="E446" s="7">
        <v>323</v>
      </c>
      <c r="F446" s="7">
        <v>318</v>
      </c>
      <c r="G446" s="209">
        <f t="shared" si="63"/>
        <v>98.452012383900936</v>
      </c>
      <c r="H446" s="35" t="s">
        <v>203</v>
      </c>
    </row>
    <row r="447" spans="2:8" ht="31.5">
      <c r="B447" s="5" t="s">
        <v>223</v>
      </c>
      <c r="C447" s="6" t="s">
        <v>202</v>
      </c>
      <c r="D447" s="136" t="s">
        <v>61</v>
      </c>
      <c r="E447" s="7"/>
      <c r="F447" s="7"/>
      <c r="G447" s="209"/>
      <c r="H447" s="35"/>
    </row>
    <row r="448" spans="2:8" ht="31.5">
      <c r="B448" s="5" t="s">
        <v>224</v>
      </c>
      <c r="C448" s="6" t="s">
        <v>102</v>
      </c>
      <c r="D448" s="136" t="s">
        <v>61</v>
      </c>
      <c r="E448" s="7">
        <v>56</v>
      </c>
      <c r="F448" s="7">
        <v>56</v>
      </c>
      <c r="G448" s="209">
        <f t="shared" ref="G448" si="64">F448/E448*100</f>
        <v>100</v>
      </c>
      <c r="H448" s="35"/>
    </row>
    <row r="449" spans="2:8">
      <c r="B449" s="170"/>
      <c r="C449" s="171" t="s">
        <v>206</v>
      </c>
      <c r="D449" s="172"/>
      <c r="E449" s="141">
        <f>E450+E454</f>
        <v>5114</v>
      </c>
      <c r="F449" s="141">
        <f>F450+F454</f>
        <v>5100</v>
      </c>
      <c r="G449" s="173">
        <f>F449/E449*100</f>
        <v>99.726241689479849</v>
      </c>
      <c r="H449" s="174"/>
    </row>
    <row r="450" spans="2:8">
      <c r="B450" s="143" t="s">
        <v>4</v>
      </c>
      <c r="C450" s="144" t="s">
        <v>89</v>
      </c>
      <c r="D450" s="157" t="s">
        <v>90</v>
      </c>
      <c r="E450" s="175">
        <f>E451+E452+E453</f>
        <v>2557</v>
      </c>
      <c r="F450" s="175">
        <f>F451+F452+F453</f>
        <v>2550</v>
      </c>
      <c r="G450" s="176">
        <f>F450/E450*100</f>
        <v>99.726241689479849</v>
      </c>
      <c r="H450" s="177"/>
    </row>
    <row r="451" spans="2:8">
      <c r="B451" s="148" t="s">
        <v>26</v>
      </c>
      <c r="C451" s="149" t="s">
        <v>91</v>
      </c>
      <c r="D451" s="150" t="s">
        <v>90</v>
      </c>
      <c r="E451" s="178">
        <f>E362+E392+E382+E402+E412+E422+E431+E441+E372</f>
        <v>2503</v>
      </c>
      <c r="F451" s="178">
        <f>F362+F392+F382+F402+F412+F422+F431+F441+F372</f>
        <v>2494</v>
      </c>
      <c r="G451" s="179">
        <f t="shared" ref="G451:G458" si="65">F451/E451*100</f>
        <v>99.640431482221331</v>
      </c>
      <c r="H451" s="126"/>
    </row>
    <row r="452" spans="2:8">
      <c r="B452" s="148" t="s">
        <v>27</v>
      </c>
      <c r="C452" s="149" t="s">
        <v>92</v>
      </c>
      <c r="D452" s="150" t="s">
        <v>90</v>
      </c>
      <c r="E452" s="178">
        <f t="shared" ref="E452:F453" si="66">E363+E393+E383+E403+E413+E423+E432+E442+E373</f>
        <v>35</v>
      </c>
      <c r="F452" s="178">
        <f t="shared" si="66"/>
        <v>36</v>
      </c>
      <c r="G452" s="179">
        <f t="shared" si="65"/>
        <v>102.85714285714285</v>
      </c>
      <c r="H452" s="126"/>
    </row>
    <row r="453" spans="2:8">
      <c r="B453" s="148" t="s">
        <v>28</v>
      </c>
      <c r="C453" s="149" t="s">
        <v>94</v>
      </c>
      <c r="D453" s="150" t="s">
        <v>90</v>
      </c>
      <c r="E453" s="178">
        <f t="shared" si="66"/>
        <v>19</v>
      </c>
      <c r="F453" s="178">
        <f t="shared" si="66"/>
        <v>20</v>
      </c>
      <c r="G453" s="179">
        <f t="shared" si="65"/>
        <v>105.26315789473684</v>
      </c>
      <c r="H453" s="126"/>
    </row>
    <row r="454" spans="2:8" ht="31.5">
      <c r="B454" s="143" t="s">
        <v>95</v>
      </c>
      <c r="C454" s="144" t="s">
        <v>96</v>
      </c>
      <c r="D454" s="157" t="s">
        <v>61</v>
      </c>
      <c r="E454" s="175">
        <f>E455+E456+E457+E458</f>
        <v>2557</v>
      </c>
      <c r="F454" s="175">
        <f>F455+F456+F457+F458</f>
        <v>2550</v>
      </c>
      <c r="G454" s="176">
        <f t="shared" si="65"/>
        <v>99.726241689479849</v>
      </c>
      <c r="H454" s="159"/>
    </row>
    <row r="455" spans="2:8">
      <c r="B455" s="148" t="s">
        <v>97</v>
      </c>
      <c r="C455" s="149" t="s">
        <v>98</v>
      </c>
      <c r="D455" s="150" t="s">
        <v>61</v>
      </c>
      <c r="E455" s="178">
        <f>E445+E435+E416+E406+E396+E386+E376+E366</f>
        <v>421</v>
      </c>
      <c r="F455" s="178">
        <f>F445+F435+F416+F406+F396+F386+F376+F366</f>
        <v>428</v>
      </c>
      <c r="G455" s="179">
        <f t="shared" si="65"/>
        <v>101.66270783847982</v>
      </c>
      <c r="H455" s="126"/>
    </row>
    <row r="456" spans="2:8">
      <c r="B456" s="148" t="s">
        <v>99</v>
      </c>
      <c r="C456" s="149" t="s">
        <v>100</v>
      </c>
      <c r="D456" s="150" t="s">
        <v>61</v>
      </c>
      <c r="E456" s="178">
        <f t="shared" ref="E456:F458" si="67">E446+E436+E417+E407+E397+E387+E377+E367</f>
        <v>1860</v>
      </c>
      <c r="F456" s="178">
        <f t="shared" si="67"/>
        <v>1847</v>
      </c>
      <c r="G456" s="179">
        <f t="shared" si="65"/>
        <v>99.3010752688172</v>
      </c>
      <c r="H456" s="126"/>
    </row>
    <row r="457" spans="2:8" ht="31.5">
      <c r="B457" s="148" t="s">
        <v>223</v>
      </c>
      <c r="C457" s="149" t="s">
        <v>202</v>
      </c>
      <c r="D457" s="150" t="s">
        <v>61</v>
      </c>
      <c r="E457" s="178">
        <f t="shared" si="67"/>
        <v>0</v>
      </c>
      <c r="F457" s="178">
        <f t="shared" si="67"/>
        <v>0</v>
      </c>
      <c r="G457" s="179"/>
      <c r="H457" s="126"/>
    </row>
    <row r="458" spans="2:8" ht="31.5">
      <c r="B458" s="148" t="s">
        <v>224</v>
      </c>
      <c r="C458" s="149" t="s">
        <v>102</v>
      </c>
      <c r="D458" s="150" t="s">
        <v>61</v>
      </c>
      <c r="E458" s="178">
        <f t="shared" si="67"/>
        <v>276</v>
      </c>
      <c r="F458" s="178">
        <f>F448+F438+F419+F409+F399+F389+F379+F369</f>
        <v>275</v>
      </c>
      <c r="G458" s="179">
        <f t="shared" si="65"/>
        <v>99.637681159420282</v>
      </c>
      <c r="H458" s="126"/>
    </row>
    <row r="459" spans="2:8">
      <c r="B459" s="139" t="s">
        <v>229</v>
      </c>
      <c r="C459" s="140" t="s">
        <v>110</v>
      </c>
      <c r="D459" s="172"/>
      <c r="E459" s="180">
        <f>E460+E461+E462+E463+E464+E465</f>
        <v>544</v>
      </c>
      <c r="F459" s="180">
        <f>F460+F461+F462+F463+F464+F465</f>
        <v>544</v>
      </c>
      <c r="G459" s="180">
        <f>F459/E459*100</f>
        <v>100</v>
      </c>
      <c r="H459" s="174"/>
    </row>
    <row r="460" spans="2:8" ht="31.5">
      <c r="B460" s="111" t="s">
        <v>4</v>
      </c>
      <c r="C460" s="2" t="s">
        <v>111</v>
      </c>
      <c r="D460" s="196" t="s">
        <v>112</v>
      </c>
      <c r="E460" s="197">
        <v>120</v>
      </c>
      <c r="F460" s="197">
        <v>120</v>
      </c>
      <c r="G460" s="184">
        <f t="shared" ref="G460:G465" si="68">F460/E460*100</f>
        <v>100</v>
      </c>
      <c r="H460" s="35"/>
    </row>
    <row r="461" spans="2:8" ht="31.5">
      <c r="B461" s="111" t="s">
        <v>6</v>
      </c>
      <c r="C461" s="2" t="s">
        <v>207</v>
      </c>
      <c r="D461" s="196" t="s">
        <v>112</v>
      </c>
      <c r="E461" s="197"/>
      <c r="F461" s="197"/>
      <c r="G461" s="184" t="e">
        <f t="shared" si="68"/>
        <v>#DIV/0!</v>
      </c>
      <c r="H461" s="35"/>
    </row>
    <row r="462" spans="2:8" ht="47.25">
      <c r="B462" s="111" t="s">
        <v>4</v>
      </c>
      <c r="C462" s="2" t="s">
        <v>113</v>
      </c>
      <c r="D462" s="196" t="s">
        <v>114</v>
      </c>
      <c r="E462" s="197">
        <v>96</v>
      </c>
      <c r="F462" s="197">
        <v>96</v>
      </c>
      <c r="G462" s="112">
        <f t="shared" si="68"/>
        <v>100</v>
      </c>
      <c r="H462" s="35"/>
    </row>
    <row r="463" spans="2:8" ht="78.75">
      <c r="B463" s="111" t="s">
        <v>6</v>
      </c>
      <c r="C463" s="52" t="s">
        <v>115</v>
      </c>
      <c r="D463" s="437" t="s">
        <v>116</v>
      </c>
      <c r="E463" s="197">
        <v>324</v>
      </c>
      <c r="F463" s="197">
        <v>324</v>
      </c>
      <c r="G463" s="112">
        <f t="shared" si="68"/>
        <v>100</v>
      </c>
      <c r="H463" s="35"/>
    </row>
    <row r="464" spans="2:8" ht="63">
      <c r="B464" s="111" t="s">
        <v>8</v>
      </c>
      <c r="C464" s="52" t="s">
        <v>184</v>
      </c>
      <c r="D464" s="196" t="s">
        <v>117</v>
      </c>
      <c r="E464" s="197">
        <v>2</v>
      </c>
      <c r="F464" s="197">
        <v>2</v>
      </c>
      <c r="G464" s="112">
        <f t="shared" si="68"/>
        <v>100</v>
      </c>
      <c r="H464" s="35"/>
    </row>
    <row r="465" spans="2:8" ht="78.75">
      <c r="B465" s="111" t="s">
        <v>18</v>
      </c>
      <c r="C465" s="52" t="s">
        <v>118</v>
      </c>
      <c r="D465" s="196" t="s">
        <v>117</v>
      </c>
      <c r="E465" s="197">
        <v>2</v>
      </c>
      <c r="F465" s="197">
        <v>2</v>
      </c>
      <c r="G465" s="112">
        <f t="shared" si="68"/>
        <v>100</v>
      </c>
      <c r="H465" s="35"/>
    </row>
    <row r="466" spans="2:8">
      <c r="B466" s="139" t="s">
        <v>230</v>
      </c>
      <c r="C466" s="140" t="s">
        <v>119</v>
      </c>
      <c r="D466" s="172"/>
      <c r="E466" s="180">
        <f>E467+E468+E469+E470+E471</f>
        <v>494</v>
      </c>
      <c r="F466" s="180">
        <f>F467+F468+F469+F470+F471</f>
        <v>494</v>
      </c>
      <c r="G466" s="180">
        <f>F466/E466*100</f>
        <v>100</v>
      </c>
      <c r="H466" s="174"/>
    </row>
    <row r="467" spans="2:8">
      <c r="B467" s="181" t="s">
        <v>4</v>
      </c>
      <c r="C467" s="80" t="s">
        <v>111</v>
      </c>
      <c r="D467" s="182" t="s">
        <v>9</v>
      </c>
      <c r="E467" s="183">
        <v>201</v>
      </c>
      <c r="F467" s="183">
        <v>201</v>
      </c>
      <c r="G467" s="184">
        <f>F467/E467*100</f>
        <v>100</v>
      </c>
      <c r="H467" s="126"/>
    </row>
    <row r="468" spans="2:8" ht="31.5">
      <c r="B468" s="181" t="s">
        <v>6</v>
      </c>
      <c r="C468" s="80" t="s">
        <v>120</v>
      </c>
      <c r="D468" s="185" t="s">
        <v>117</v>
      </c>
      <c r="E468" s="183">
        <v>4</v>
      </c>
      <c r="F468" s="183">
        <v>4</v>
      </c>
      <c r="G468" s="184">
        <f>F468/E468*100</f>
        <v>100</v>
      </c>
      <c r="H468" s="126"/>
    </row>
    <row r="469" spans="2:8" ht="47.25">
      <c r="B469" s="181" t="s">
        <v>8</v>
      </c>
      <c r="C469" s="85" t="s">
        <v>121</v>
      </c>
      <c r="D469" s="186" t="s">
        <v>208</v>
      </c>
      <c r="E469" s="187">
        <v>9</v>
      </c>
      <c r="F469" s="187">
        <v>9</v>
      </c>
      <c r="G469" s="188">
        <f t="shared" ref="G469" si="69">F469/E469*100</f>
        <v>100</v>
      </c>
      <c r="H469" s="126"/>
    </row>
    <row r="470" spans="2:8" ht="47.25">
      <c r="B470" s="181" t="s">
        <v>18</v>
      </c>
      <c r="C470" s="85" t="s">
        <v>122</v>
      </c>
      <c r="D470" s="186" t="s">
        <v>114</v>
      </c>
      <c r="E470" s="187">
        <v>200</v>
      </c>
      <c r="F470" s="187">
        <v>200</v>
      </c>
      <c r="G470" s="189">
        <f>F470/E470*100</f>
        <v>100</v>
      </c>
      <c r="H470" s="126"/>
    </row>
    <row r="471" spans="2:8" ht="63">
      <c r="B471" s="181" t="s">
        <v>21</v>
      </c>
      <c r="C471" s="85" t="s">
        <v>123</v>
      </c>
      <c r="D471" s="186" t="s">
        <v>124</v>
      </c>
      <c r="E471" s="187">
        <v>80</v>
      </c>
      <c r="F471" s="187">
        <v>80</v>
      </c>
      <c r="G471" s="189">
        <f>F471/E471*100</f>
        <v>100</v>
      </c>
      <c r="H471" s="126"/>
    </row>
    <row r="472" spans="2:8" s="19" customFormat="1">
      <c r="B472" s="634"/>
      <c r="C472" s="635" t="s">
        <v>143</v>
      </c>
      <c r="D472" s="636"/>
      <c r="E472" s="637">
        <f>E466+E459+E316+E30+E23+E21+E15+E6</f>
        <v>327400</v>
      </c>
      <c r="F472" s="637">
        <f>F466+F459+F316+F30+F23+F21+F15+F6</f>
        <v>330019.5</v>
      </c>
      <c r="G472" s="638">
        <f>F472/E472*100</f>
        <v>100.80009163103239</v>
      </c>
      <c r="H472" s="639"/>
    </row>
  </sheetData>
  <mergeCells count="2">
    <mergeCell ref="B1:H2"/>
    <mergeCell ref="J221:J226"/>
  </mergeCells>
  <pageMargins left="0.19685039370078741" right="0.11811023622047245" top="0.15748031496062992" bottom="0.19685039370078741" header="0.31496062992125984" footer="0.31496062992125984"/>
  <pageSetup paperSize="9" scale="51" fitToHeight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24"/>
  <sheetViews>
    <sheetView topLeftCell="A107" zoomScale="75" zoomScaleNormal="75" workbookViewId="0">
      <selection activeCell="B44" sqref="B44"/>
    </sheetView>
  </sheetViews>
  <sheetFormatPr defaultColWidth="8" defaultRowHeight="16.5"/>
  <cols>
    <col min="1" max="1" width="6" style="400" customWidth="1"/>
    <col min="2" max="2" width="99.140625" style="399" customWidth="1"/>
    <col min="3" max="3" width="27.28515625" style="397" customWidth="1"/>
    <col min="4" max="4" width="18.5703125" style="233" customWidth="1"/>
    <col min="5" max="5" width="15.7109375" style="234" customWidth="1"/>
    <col min="6" max="6" width="16" style="234" customWidth="1"/>
    <col min="7" max="7" width="13.42578125" style="235" customWidth="1"/>
    <col min="8" max="8" width="17.42578125" style="234" customWidth="1"/>
    <col min="9" max="9" width="16.85546875" style="234" customWidth="1"/>
    <col min="10" max="10" width="17.140625" style="234" customWidth="1"/>
    <col min="11" max="11" width="13" style="234" customWidth="1"/>
    <col min="12" max="12" width="17.42578125" style="419" customWidth="1"/>
    <col min="13" max="84" width="8" style="419"/>
    <col min="85" max="16384" width="8" style="399"/>
  </cols>
  <sheetData>
    <row r="1" spans="1:84" s="230" customFormat="1">
      <c r="A1" s="837" t="s">
        <v>243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</row>
    <row r="2" spans="1:84" s="230" customFormat="1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</row>
    <row r="3" spans="1:84" s="230" customFormat="1">
      <c r="A3" s="231"/>
      <c r="C3" s="232"/>
      <c r="D3" s="233"/>
      <c r="E3" s="234"/>
      <c r="F3" s="234"/>
      <c r="G3" s="235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</row>
    <row r="4" spans="1:84" s="232" customFormat="1" ht="15">
      <c r="A4" s="838" t="s">
        <v>0</v>
      </c>
      <c r="B4" s="840" t="s">
        <v>1</v>
      </c>
      <c r="C4" s="841" t="s">
        <v>244</v>
      </c>
      <c r="D4" s="841"/>
      <c r="E4" s="841"/>
      <c r="F4" s="841"/>
      <c r="G4" s="841"/>
      <c r="H4" s="842" t="s">
        <v>245</v>
      </c>
      <c r="I4" s="842"/>
      <c r="J4" s="842"/>
      <c r="K4" s="842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</row>
    <row r="5" spans="1:84" s="232" customFormat="1" ht="75">
      <c r="A5" s="839"/>
      <c r="B5" s="840"/>
      <c r="C5" s="236" t="s">
        <v>2</v>
      </c>
      <c r="D5" s="237" t="s">
        <v>246</v>
      </c>
      <c r="E5" s="236" t="s">
        <v>247</v>
      </c>
      <c r="F5" s="238" t="s">
        <v>248</v>
      </c>
      <c r="G5" s="239" t="s">
        <v>249</v>
      </c>
      <c r="H5" s="236" t="s">
        <v>246</v>
      </c>
      <c r="I5" s="236" t="s">
        <v>247</v>
      </c>
      <c r="J5" s="238" t="s">
        <v>248</v>
      </c>
      <c r="K5" s="239" t="s">
        <v>249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</row>
    <row r="6" spans="1:84" s="232" customFormat="1" ht="15">
      <c r="A6" s="240">
        <v>1</v>
      </c>
      <c r="B6" s="240">
        <v>2</v>
      </c>
      <c r="C6" s="240">
        <v>3</v>
      </c>
      <c r="D6" s="241">
        <v>4</v>
      </c>
      <c r="E6" s="241">
        <v>5</v>
      </c>
      <c r="F6" s="240">
        <v>6</v>
      </c>
      <c r="G6" s="241">
        <v>7</v>
      </c>
      <c r="H6" s="241">
        <v>8</v>
      </c>
      <c r="I6" s="240">
        <v>9</v>
      </c>
      <c r="J6" s="240">
        <v>10</v>
      </c>
      <c r="K6" s="240">
        <v>11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</row>
    <row r="7" spans="1:84" s="247" customFormat="1" ht="18.75">
      <c r="A7" s="242" t="s">
        <v>250</v>
      </c>
      <c r="B7" s="243" t="s">
        <v>251</v>
      </c>
      <c r="C7" s="244"/>
      <c r="D7" s="245">
        <f>D8+D19</f>
        <v>306920</v>
      </c>
      <c r="E7" s="245">
        <f t="shared" ref="E7:F7" si="0">E8+E19</f>
        <v>203795</v>
      </c>
      <c r="F7" s="245">
        <f t="shared" si="0"/>
        <v>208555</v>
      </c>
      <c r="G7" s="246">
        <f t="shared" ref="G7:K7" si="1">G8</f>
        <v>100</v>
      </c>
      <c r="H7" s="245">
        <f>H8+H19</f>
        <v>249552</v>
      </c>
      <c r="I7" s="245">
        <f t="shared" ref="I7:J7" si="2">I8+I19</f>
        <v>240087</v>
      </c>
      <c r="J7" s="245">
        <f t="shared" si="2"/>
        <v>235727</v>
      </c>
      <c r="K7" s="246">
        <f t="shared" si="1"/>
        <v>94.126917844201671</v>
      </c>
      <c r="L7" s="406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</row>
    <row r="8" spans="1:84" s="256" customFormat="1" ht="15">
      <c r="A8" s="248"/>
      <c r="B8" s="249" t="s">
        <v>252</v>
      </c>
      <c r="C8" s="250"/>
      <c r="D8" s="251">
        <f>D9+D10+D12</f>
        <v>178793</v>
      </c>
      <c r="E8" s="252">
        <f>E9+E10+E12</f>
        <v>170956</v>
      </c>
      <c r="F8" s="252">
        <f>F9+F10+F12</f>
        <v>170956</v>
      </c>
      <c r="G8" s="253">
        <f>F8/E8*100</f>
        <v>100</v>
      </c>
      <c r="H8" s="254">
        <f>H9+H10+H12</f>
        <v>75824</v>
      </c>
      <c r="I8" s="254">
        <f>I9+I10+I12</f>
        <v>74237</v>
      </c>
      <c r="J8" s="254">
        <f>J9+J10+J12</f>
        <v>69877</v>
      </c>
      <c r="K8" s="255">
        <f t="shared" ref="K8:K70" si="3">J8/I8*100</f>
        <v>94.126917844201671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</row>
    <row r="9" spans="1:84" s="262" customFormat="1" ht="15">
      <c r="A9" s="248"/>
      <c r="B9" s="249"/>
      <c r="C9" s="257"/>
      <c r="D9" s="258"/>
      <c r="E9" s="259"/>
      <c r="F9" s="259"/>
      <c r="G9" s="253"/>
      <c r="H9" s="260"/>
      <c r="I9" s="260"/>
      <c r="J9" s="260"/>
      <c r="K9" s="261"/>
      <c r="L9" s="408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</row>
    <row r="10" spans="1:84" s="262" customFormat="1" ht="15">
      <c r="A10" s="248" t="s">
        <v>4</v>
      </c>
      <c r="B10" s="249" t="s">
        <v>78</v>
      </c>
      <c r="C10" s="257" t="s">
        <v>5</v>
      </c>
      <c r="D10" s="259">
        <f>D11</f>
        <v>1360</v>
      </c>
      <c r="E10" s="259">
        <f>E11</f>
        <v>1224</v>
      </c>
      <c r="F10" s="259">
        <f>F11</f>
        <v>1224</v>
      </c>
      <c r="G10" s="253">
        <f t="shared" ref="G10:G34" si="4">F10/E10*100</f>
        <v>100</v>
      </c>
      <c r="H10" s="260">
        <f>H11</f>
        <v>570</v>
      </c>
      <c r="I10" s="260">
        <f>I11</f>
        <v>552</v>
      </c>
      <c r="J10" s="260">
        <f>J11</f>
        <v>520</v>
      </c>
      <c r="K10" s="261">
        <f t="shared" si="3"/>
        <v>94.20289855072464</v>
      </c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</row>
    <row r="11" spans="1:84" s="270" customFormat="1" ht="15">
      <c r="A11" s="263" t="s">
        <v>26</v>
      </c>
      <c r="B11" s="193" t="s">
        <v>253</v>
      </c>
      <c r="C11" s="264" t="s">
        <v>5</v>
      </c>
      <c r="D11" s="265">
        <v>1360</v>
      </c>
      <c r="E11" s="266">
        <v>1224</v>
      </c>
      <c r="F11" s="266">
        <v>1224</v>
      </c>
      <c r="G11" s="267">
        <f t="shared" si="4"/>
        <v>100</v>
      </c>
      <c r="H11" s="268">
        <v>570</v>
      </c>
      <c r="I11" s="268">
        <f>520+32</f>
        <v>552</v>
      </c>
      <c r="J11" s="268">
        <f>517+3</f>
        <v>520</v>
      </c>
      <c r="K11" s="269">
        <f t="shared" si="3"/>
        <v>94.20289855072464</v>
      </c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</row>
    <row r="12" spans="1:84" s="256" customFormat="1" ht="28.5">
      <c r="A12" s="248" t="s">
        <v>6</v>
      </c>
      <c r="B12" s="249" t="s">
        <v>254</v>
      </c>
      <c r="C12" s="257" t="s">
        <v>5</v>
      </c>
      <c r="D12" s="271">
        <f>SUM(D13:D18)</f>
        <v>177433</v>
      </c>
      <c r="E12" s="271">
        <f t="shared" ref="E12:F12" si="5">SUM(E13:E18)</f>
        <v>169732</v>
      </c>
      <c r="F12" s="271">
        <f t="shared" si="5"/>
        <v>169732</v>
      </c>
      <c r="G12" s="253">
        <f t="shared" si="4"/>
        <v>100</v>
      </c>
      <c r="H12" s="260">
        <f>SUM(H13:H18)</f>
        <v>75254</v>
      </c>
      <c r="I12" s="260">
        <f>SUM(I13:I18)</f>
        <v>73685</v>
      </c>
      <c r="J12" s="260">
        <f>SUM(J13:J18)</f>
        <v>69357</v>
      </c>
      <c r="K12" s="261">
        <f t="shared" si="3"/>
        <v>94.126348646264503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</row>
    <row r="13" spans="1:84" s="270" customFormat="1" ht="15">
      <c r="A13" s="263" t="s">
        <v>7</v>
      </c>
      <c r="B13" s="193" t="s">
        <v>154</v>
      </c>
      <c r="C13" s="264" t="s">
        <v>5</v>
      </c>
      <c r="D13" s="272">
        <v>23300</v>
      </c>
      <c r="E13" s="265">
        <v>21842</v>
      </c>
      <c r="F13" s="265">
        <v>21842</v>
      </c>
      <c r="G13" s="267">
        <f t="shared" si="4"/>
        <v>100</v>
      </c>
      <c r="H13" s="268">
        <v>15666</v>
      </c>
      <c r="I13" s="268">
        <f>13984+877</f>
        <v>14861</v>
      </c>
      <c r="J13" s="268">
        <f>13895+89</f>
        <v>13984</v>
      </c>
      <c r="K13" s="269">
        <f t="shared" si="3"/>
        <v>94.098647466523104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</row>
    <row r="14" spans="1:84" s="270" customFormat="1" ht="15">
      <c r="A14" s="263" t="s">
        <v>12</v>
      </c>
      <c r="B14" s="193" t="s">
        <v>155</v>
      </c>
      <c r="C14" s="264" t="s">
        <v>5</v>
      </c>
      <c r="D14" s="272">
        <v>22134</v>
      </c>
      <c r="E14" s="265">
        <v>21515</v>
      </c>
      <c r="F14" s="265">
        <v>21515</v>
      </c>
      <c r="G14" s="267">
        <f t="shared" si="4"/>
        <v>100</v>
      </c>
      <c r="H14" s="268">
        <v>13924</v>
      </c>
      <c r="I14" s="268">
        <f>14433+889</f>
        <v>15322</v>
      </c>
      <c r="J14" s="268">
        <f>14341+91</f>
        <v>14432</v>
      </c>
      <c r="K14" s="269">
        <f t="shared" si="3"/>
        <v>94.191358830439881</v>
      </c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</row>
    <row r="15" spans="1:84" s="270" customFormat="1" ht="15">
      <c r="A15" s="263" t="s">
        <v>14</v>
      </c>
      <c r="B15" s="193" t="s">
        <v>255</v>
      </c>
      <c r="C15" s="264" t="s">
        <v>5</v>
      </c>
      <c r="D15" s="272">
        <v>14059</v>
      </c>
      <c r="E15" s="265">
        <v>12687</v>
      </c>
      <c r="F15" s="265">
        <v>12687</v>
      </c>
      <c r="G15" s="267">
        <f t="shared" si="4"/>
        <v>100</v>
      </c>
      <c r="H15" s="268">
        <v>13170</v>
      </c>
      <c r="I15" s="268">
        <f>11528+720</f>
        <v>12248</v>
      </c>
      <c r="J15" s="268">
        <f>11455+74</f>
        <v>11529</v>
      </c>
      <c r="K15" s="269">
        <f t="shared" si="3"/>
        <v>94.129653821031994</v>
      </c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</row>
    <row r="16" spans="1:84" s="270" customFormat="1" ht="15">
      <c r="A16" s="263" t="s">
        <v>16</v>
      </c>
      <c r="B16" s="193" t="s">
        <v>158</v>
      </c>
      <c r="C16" s="264" t="s">
        <v>5</v>
      </c>
      <c r="D16" s="272">
        <v>6091</v>
      </c>
      <c r="E16" s="265">
        <v>5514</v>
      </c>
      <c r="F16" s="265">
        <v>5514</v>
      </c>
      <c r="G16" s="267">
        <f t="shared" si="4"/>
        <v>100</v>
      </c>
      <c r="H16" s="268">
        <v>7015</v>
      </c>
      <c r="I16" s="268">
        <f>6017+377</f>
        <v>6394</v>
      </c>
      <c r="J16" s="268">
        <f>5979+38</f>
        <v>6017</v>
      </c>
      <c r="K16" s="269">
        <f t="shared" si="3"/>
        <v>94.103847356897091</v>
      </c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</row>
    <row r="17" spans="1:84" s="270" customFormat="1" ht="15">
      <c r="A17" s="263" t="s">
        <v>191</v>
      </c>
      <c r="B17" s="193" t="s">
        <v>157</v>
      </c>
      <c r="C17" s="264" t="s">
        <v>5</v>
      </c>
      <c r="D17" s="272">
        <v>45413</v>
      </c>
      <c r="E17" s="265">
        <v>44302</v>
      </c>
      <c r="F17" s="265">
        <v>44302</v>
      </c>
      <c r="G17" s="267">
        <f t="shared" si="4"/>
        <v>100</v>
      </c>
      <c r="H17" s="268">
        <v>14847</v>
      </c>
      <c r="I17" s="268">
        <f>13331+833</f>
        <v>14164</v>
      </c>
      <c r="J17" s="268">
        <f>13246+85</f>
        <v>13331</v>
      </c>
      <c r="K17" s="269">
        <f t="shared" si="3"/>
        <v>94.118892968088105</v>
      </c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</row>
    <row r="18" spans="1:84" s="273" customFormat="1" ht="15">
      <c r="A18" s="263" t="s">
        <v>256</v>
      </c>
      <c r="B18" s="193" t="s">
        <v>159</v>
      </c>
      <c r="C18" s="264" t="s">
        <v>5</v>
      </c>
      <c r="D18" s="272">
        <v>66436</v>
      </c>
      <c r="E18" s="265">
        <v>63872</v>
      </c>
      <c r="F18" s="265">
        <v>63872</v>
      </c>
      <c r="G18" s="267">
        <f t="shared" si="4"/>
        <v>100</v>
      </c>
      <c r="H18" s="268">
        <v>10632</v>
      </c>
      <c r="I18" s="268">
        <f>10064+632</f>
        <v>10696</v>
      </c>
      <c r="J18" s="268">
        <f>10000+64</f>
        <v>10064</v>
      </c>
      <c r="K18" s="269">
        <f t="shared" si="3"/>
        <v>94.091249065071054</v>
      </c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</row>
    <row r="19" spans="1:84" s="247" customFormat="1" ht="18.75">
      <c r="A19" s="248"/>
      <c r="B19" s="249" t="s">
        <v>160</v>
      </c>
      <c r="C19" s="274"/>
      <c r="D19" s="275">
        <f>D20+D21+D22+D23</f>
        <v>128127</v>
      </c>
      <c r="E19" s="275">
        <f>E20+E21+E22+E23</f>
        <v>32839</v>
      </c>
      <c r="F19" s="275">
        <f>F20+F21+F22+F23</f>
        <v>37599</v>
      </c>
      <c r="G19" s="253">
        <f t="shared" si="4"/>
        <v>114.49496026066568</v>
      </c>
      <c r="H19" s="260">
        <f>H20+H21+H22+H23</f>
        <v>173728</v>
      </c>
      <c r="I19" s="260">
        <f>I20+I21+I22+I23</f>
        <v>165850</v>
      </c>
      <c r="J19" s="260">
        <f>J20+J21+J22+J23</f>
        <v>165850</v>
      </c>
      <c r="K19" s="261">
        <f>J19/I19*100</f>
        <v>100</v>
      </c>
      <c r="L19" s="309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</row>
    <row r="20" spans="1:84" s="247" customFormat="1" ht="18.75">
      <c r="A20" s="248" t="s">
        <v>4</v>
      </c>
      <c r="B20" s="249" t="s">
        <v>161</v>
      </c>
      <c r="C20" s="276" t="s">
        <v>162</v>
      </c>
      <c r="D20" s="275">
        <v>40</v>
      </c>
      <c r="E20" s="275">
        <v>15</v>
      </c>
      <c r="F20" s="275">
        <v>16</v>
      </c>
      <c r="G20" s="253">
        <f t="shared" si="4"/>
        <v>106.66666666666667</v>
      </c>
      <c r="H20" s="260">
        <v>13088</v>
      </c>
      <c r="I20" s="260">
        <v>12675</v>
      </c>
      <c r="J20" s="260">
        <v>12675</v>
      </c>
      <c r="K20" s="261">
        <f t="shared" si="3"/>
        <v>100</v>
      </c>
      <c r="L20" s="309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</row>
    <row r="21" spans="1:84" s="247" customFormat="1" ht="30">
      <c r="A21" s="248" t="s">
        <v>6</v>
      </c>
      <c r="B21" s="277" t="s">
        <v>164</v>
      </c>
      <c r="C21" s="276" t="s">
        <v>165</v>
      </c>
      <c r="D21" s="275">
        <v>128063</v>
      </c>
      <c r="E21" s="275">
        <v>32796</v>
      </c>
      <c r="F21" s="275">
        <v>37556</v>
      </c>
      <c r="G21" s="253">
        <f t="shared" si="4"/>
        <v>114.51396511769727</v>
      </c>
      <c r="H21" s="260">
        <v>54330</v>
      </c>
      <c r="I21" s="260">
        <v>42046</v>
      </c>
      <c r="J21" s="260">
        <v>42046</v>
      </c>
      <c r="K21" s="261">
        <f t="shared" si="3"/>
        <v>100</v>
      </c>
      <c r="L21" s="309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</row>
    <row r="22" spans="1:84" s="247" customFormat="1" ht="30">
      <c r="A22" s="248" t="s">
        <v>8</v>
      </c>
      <c r="B22" s="278" t="s">
        <v>166</v>
      </c>
      <c r="C22" s="276" t="s">
        <v>167</v>
      </c>
      <c r="D22" s="275">
        <v>24</v>
      </c>
      <c r="E22" s="275">
        <v>24</v>
      </c>
      <c r="F22" s="275">
        <v>23</v>
      </c>
      <c r="G22" s="253">
        <f t="shared" si="4"/>
        <v>95.833333333333343</v>
      </c>
      <c r="H22" s="260">
        <f>105909+401</f>
        <v>106310</v>
      </c>
      <c r="I22" s="260">
        <v>111025</v>
      </c>
      <c r="J22" s="260">
        <v>111025</v>
      </c>
      <c r="K22" s="261">
        <f t="shared" si="3"/>
        <v>100</v>
      </c>
      <c r="L22" s="309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</row>
    <row r="23" spans="1:84" s="247" customFormat="1" ht="72.75">
      <c r="A23" s="279" t="s">
        <v>18</v>
      </c>
      <c r="B23" s="280" t="s">
        <v>257</v>
      </c>
      <c r="C23" s="276" t="s">
        <v>258</v>
      </c>
      <c r="D23" s="281">
        <v>0</v>
      </c>
      <c r="E23" s="281">
        <v>4</v>
      </c>
      <c r="F23" s="281">
        <v>4</v>
      </c>
      <c r="G23" s="282">
        <f t="shared" si="4"/>
        <v>100</v>
      </c>
      <c r="H23" s="283">
        <v>0</v>
      </c>
      <c r="I23" s="283">
        <v>104</v>
      </c>
      <c r="J23" s="283">
        <v>104</v>
      </c>
      <c r="K23" s="284">
        <f t="shared" si="3"/>
        <v>100</v>
      </c>
      <c r="L23" s="309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</row>
    <row r="24" spans="1:84" s="291" customFormat="1" ht="37.5">
      <c r="A24" s="285" t="s">
        <v>95</v>
      </c>
      <c r="B24" s="286" t="s">
        <v>259</v>
      </c>
      <c r="C24" s="287"/>
      <c r="D24" s="288">
        <f>D25</f>
        <v>126398</v>
      </c>
      <c r="E24" s="288">
        <f t="shared" ref="E24:F24" si="6">E25</f>
        <v>477615</v>
      </c>
      <c r="F24" s="288">
        <f t="shared" si="6"/>
        <v>491255</v>
      </c>
      <c r="G24" s="289">
        <f t="shared" si="4"/>
        <v>102.85585670466799</v>
      </c>
      <c r="H24" s="290">
        <f>ROUND(H25+H37+H38,0)</f>
        <v>159834</v>
      </c>
      <c r="I24" s="290">
        <f t="shared" ref="I24:J24" si="7">ROUND(I25+I37+I38,0)</f>
        <v>124368</v>
      </c>
      <c r="J24" s="290">
        <f t="shared" si="7"/>
        <v>123250</v>
      </c>
      <c r="K24" s="289">
        <f t="shared" si="3"/>
        <v>99.101054933745019</v>
      </c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</row>
    <row r="25" spans="1:84" s="298" customFormat="1" ht="15.75">
      <c r="A25" s="292"/>
      <c r="B25" s="190" t="s">
        <v>260</v>
      </c>
      <c r="C25" s="293"/>
      <c r="D25" s="294">
        <f>D26+D32+D33+D34+D35+D36</f>
        <v>126398</v>
      </c>
      <c r="E25" s="294">
        <f t="shared" ref="E25:F25" si="8">E26+E32+E33+E34+E35+E36</f>
        <v>477615</v>
      </c>
      <c r="F25" s="294">
        <f t="shared" si="8"/>
        <v>491255</v>
      </c>
      <c r="G25" s="295">
        <f t="shared" si="4"/>
        <v>102.85585670466799</v>
      </c>
      <c r="H25" s="296">
        <f>H26+H32+H33+H34+H35+H36</f>
        <v>32686</v>
      </c>
      <c r="I25" s="296">
        <f t="shared" ref="I25:J25" si="9">I26+I32+I33+I34+I35+I36</f>
        <v>123250.09999999998</v>
      </c>
      <c r="J25" s="296">
        <f t="shared" si="9"/>
        <v>123250.09999999998</v>
      </c>
      <c r="K25" s="297">
        <f t="shared" si="3"/>
        <v>100</v>
      </c>
    </row>
    <row r="26" spans="1:84" s="298" customFormat="1" ht="28.5">
      <c r="A26" s="292" t="s">
        <v>4</v>
      </c>
      <c r="B26" s="190" t="s">
        <v>10</v>
      </c>
      <c r="C26" s="299" t="s">
        <v>5</v>
      </c>
      <c r="D26" s="294">
        <f>SUM(D27:D31)</f>
        <v>126374</v>
      </c>
      <c r="E26" s="294">
        <f>SUM(E27:E31)</f>
        <v>477213</v>
      </c>
      <c r="F26" s="294">
        <f>SUM(F27:F31)</f>
        <v>490900</v>
      </c>
      <c r="G26" s="295">
        <f t="shared" si="4"/>
        <v>102.86811130459563</v>
      </c>
      <c r="H26" s="296">
        <f>SUM(H27:H31)+0.1</f>
        <v>30542.5</v>
      </c>
      <c r="I26" s="296">
        <f>SUM(I27:I31)+0.1</f>
        <v>114090.5</v>
      </c>
      <c r="J26" s="296">
        <f>SUM(J27:J31)+0.1</f>
        <v>114090.5</v>
      </c>
      <c r="K26" s="300">
        <f t="shared" si="3"/>
        <v>100</v>
      </c>
    </row>
    <row r="27" spans="1:84" s="308" customFormat="1" ht="15">
      <c r="A27" s="301" t="s">
        <v>26</v>
      </c>
      <c r="B27" s="302" t="s">
        <v>11</v>
      </c>
      <c r="C27" s="303" t="s">
        <v>5</v>
      </c>
      <c r="D27" s="304">
        <v>4224</v>
      </c>
      <c r="E27" s="304">
        <v>16128</v>
      </c>
      <c r="F27" s="304">
        <v>21672</v>
      </c>
      <c r="G27" s="305">
        <f>F27/E27*100</f>
        <v>134.375</v>
      </c>
      <c r="H27" s="306">
        <v>2588.3000000000002</v>
      </c>
      <c r="I27" s="307">
        <v>6902.6</v>
      </c>
      <c r="J27" s="307">
        <v>6902.6</v>
      </c>
      <c r="K27" s="192">
        <f t="shared" si="3"/>
        <v>100</v>
      </c>
    </row>
    <row r="28" spans="1:84" s="309" customFormat="1" ht="15">
      <c r="A28" s="301" t="s">
        <v>27</v>
      </c>
      <c r="B28" s="191" t="s">
        <v>13</v>
      </c>
      <c r="C28" s="303" t="s">
        <v>5</v>
      </c>
      <c r="D28" s="304">
        <f>17523+4677</f>
        <v>22200</v>
      </c>
      <c r="E28" s="304">
        <v>81853</v>
      </c>
      <c r="F28" s="304">
        <v>85153</v>
      </c>
      <c r="G28" s="305">
        <f t="shared" si="4"/>
        <v>104.03161765604192</v>
      </c>
      <c r="H28" s="307">
        <v>6192.6</v>
      </c>
      <c r="I28" s="307">
        <v>19974.400000000001</v>
      </c>
      <c r="J28" s="307">
        <v>19974.400000000001</v>
      </c>
      <c r="K28" s="192">
        <f t="shared" si="3"/>
        <v>100</v>
      </c>
    </row>
    <row r="29" spans="1:84" s="309" customFormat="1" ht="15">
      <c r="A29" s="301" t="s">
        <v>28</v>
      </c>
      <c r="B29" s="191" t="s">
        <v>15</v>
      </c>
      <c r="C29" s="303" t="s">
        <v>5</v>
      </c>
      <c r="D29" s="304">
        <f>26059+6235</f>
        <v>32294</v>
      </c>
      <c r="E29" s="304">
        <v>121425</v>
      </c>
      <c r="F29" s="304">
        <v>123246</v>
      </c>
      <c r="G29" s="305">
        <f t="shared" si="4"/>
        <v>101.49969116738728</v>
      </c>
      <c r="H29" s="307">
        <v>5835</v>
      </c>
      <c r="I29" s="307">
        <v>21792.799999999999</v>
      </c>
      <c r="J29" s="307">
        <v>21792.799999999999</v>
      </c>
      <c r="K29" s="192">
        <f t="shared" si="3"/>
        <v>100</v>
      </c>
    </row>
    <row r="30" spans="1:84" s="309" customFormat="1" ht="15">
      <c r="A30" s="301" t="s">
        <v>29</v>
      </c>
      <c r="B30" s="191" t="s">
        <v>17</v>
      </c>
      <c r="C30" s="303" t="s">
        <v>5</v>
      </c>
      <c r="D30" s="304">
        <f>34562+9727</f>
        <v>44289</v>
      </c>
      <c r="E30" s="304">
        <v>170383</v>
      </c>
      <c r="F30" s="304">
        <v>175744</v>
      </c>
      <c r="G30" s="305">
        <f t="shared" si="4"/>
        <v>103.14644066602889</v>
      </c>
      <c r="H30" s="307">
        <v>9775.9</v>
      </c>
      <c r="I30" s="307">
        <v>34134.5</v>
      </c>
      <c r="J30" s="307">
        <v>34134.5</v>
      </c>
      <c r="K30" s="192">
        <f t="shared" si="3"/>
        <v>100</v>
      </c>
    </row>
    <row r="31" spans="1:84" s="309" customFormat="1" ht="15">
      <c r="A31" s="301" t="s">
        <v>30</v>
      </c>
      <c r="B31" s="191" t="s">
        <v>23</v>
      </c>
      <c r="C31" s="303" t="s">
        <v>5</v>
      </c>
      <c r="D31" s="304">
        <v>23367</v>
      </c>
      <c r="E31" s="304">
        <v>87424</v>
      </c>
      <c r="F31" s="304">
        <v>85085</v>
      </c>
      <c r="G31" s="305">
        <f>F31/E31*100</f>
        <v>97.32453330893118</v>
      </c>
      <c r="H31" s="307">
        <v>6150.6</v>
      </c>
      <c r="I31" s="307">
        <v>31286.1</v>
      </c>
      <c r="J31" s="307">
        <v>31286.1</v>
      </c>
      <c r="K31" s="192">
        <f t="shared" si="3"/>
        <v>100</v>
      </c>
    </row>
    <row r="32" spans="1:84" s="298" customFormat="1" ht="28.5">
      <c r="A32" s="292" t="s">
        <v>6</v>
      </c>
      <c r="B32" s="190" t="s">
        <v>261</v>
      </c>
      <c r="C32" s="194" t="s">
        <v>20</v>
      </c>
      <c r="D32" s="294"/>
      <c r="E32" s="294">
        <v>24</v>
      </c>
      <c r="F32" s="294"/>
      <c r="G32" s="295">
        <f t="shared" si="4"/>
        <v>0</v>
      </c>
      <c r="H32" s="296"/>
      <c r="I32" s="296">
        <v>182.7</v>
      </c>
      <c r="J32" s="296">
        <v>182.7</v>
      </c>
      <c r="K32" s="300">
        <f t="shared" si="3"/>
        <v>100</v>
      </c>
    </row>
    <row r="33" spans="1:84" s="298" customFormat="1" ht="27.6" customHeight="1">
      <c r="A33" s="292" t="s">
        <v>8</v>
      </c>
      <c r="B33" s="190" t="s">
        <v>19</v>
      </c>
      <c r="C33" s="194" t="s">
        <v>20</v>
      </c>
      <c r="D33" s="294">
        <f>8+12</f>
        <v>20</v>
      </c>
      <c r="E33" s="294">
        <v>33</v>
      </c>
      <c r="F33" s="294">
        <v>11</v>
      </c>
      <c r="G33" s="295">
        <f t="shared" si="4"/>
        <v>33.333333333333329</v>
      </c>
      <c r="H33" s="296">
        <v>992.40000000000009</v>
      </c>
      <c r="I33" s="296">
        <v>2385.9</v>
      </c>
      <c r="J33" s="296">
        <v>2385.9</v>
      </c>
      <c r="K33" s="300">
        <f t="shared" si="3"/>
        <v>100</v>
      </c>
    </row>
    <row r="34" spans="1:84" s="298" customFormat="1" ht="28.5">
      <c r="A34" s="292" t="s">
        <v>18</v>
      </c>
      <c r="B34" s="190" t="s">
        <v>22</v>
      </c>
      <c r="C34" s="194" t="s">
        <v>20</v>
      </c>
      <c r="D34" s="294">
        <f>3+1</f>
        <v>4</v>
      </c>
      <c r="E34" s="294">
        <v>4</v>
      </c>
      <c r="F34" s="294">
        <v>3</v>
      </c>
      <c r="G34" s="295">
        <f t="shared" si="4"/>
        <v>75</v>
      </c>
      <c r="H34" s="296">
        <v>1151.0999999999999</v>
      </c>
      <c r="I34" s="296">
        <v>3062.2000000000003</v>
      </c>
      <c r="J34" s="296">
        <v>3062.2000000000003</v>
      </c>
      <c r="K34" s="300">
        <f t="shared" si="3"/>
        <v>100</v>
      </c>
    </row>
    <row r="35" spans="1:84" s="298" customFormat="1" ht="55.5" customHeight="1">
      <c r="A35" s="292" t="s">
        <v>21</v>
      </c>
      <c r="B35" s="80" t="s">
        <v>37</v>
      </c>
      <c r="C35" s="310" t="s">
        <v>20</v>
      </c>
      <c r="D35" s="294"/>
      <c r="E35" s="311">
        <v>1</v>
      </c>
      <c r="F35" s="311">
        <v>1</v>
      </c>
      <c r="G35" s="295"/>
      <c r="H35" s="296"/>
      <c r="I35" s="296">
        <v>176.4</v>
      </c>
      <c r="J35" s="296">
        <v>176.4</v>
      </c>
      <c r="K35" s="300">
        <f t="shared" si="3"/>
        <v>100</v>
      </c>
    </row>
    <row r="36" spans="1:84" s="298" customFormat="1" ht="41.25" customHeight="1">
      <c r="A36" s="292" t="s">
        <v>24</v>
      </c>
      <c r="B36" s="80" t="s">
        <v>38</v>
      </c>
      <c r="C36" s="310" t="s">
        <v>36</v>
      </c>
      <c r="D36" s="294"/>
      <c r="E36" s="311">
        <v>340</v>
      </c>
      <c r="F36" s="311">
        <v>340</v>
      </c>
      <c r="G36" s="295"/>
      <c r="H36" s="296"/>
      <c r="I36" s="296">
        <v>3352.4</v>
      </c>
      <c r="J36" s="296">
        <v>3352.4</v>
      </c>
      <c r="K36" s="300">
        <f t="shared" si="3"/>
        <v>100</v>
      </c>
    </row>
    <row r="37" spans="1:84" s="256" customFormat="1" ht="29.25" customHeight="1">
      <c r="A37" s="248"/>
      <c r="B37" s="312" t="s">
        <v>262</v>
      </c>
      <c r="C37" s="205"/>
      <c r="D37" s="259"/>
      <c r="E37" s="275"/>
      <c r="F37" s="275"/>
      <c r="G37" s="253"/>
      <c r="H37" s="260">
        <v>127147.5</v>
      </c>
      <c r="I37" s="260">
        <v>1117.5999999999999</v>
      </c>
      <c r="J37" s="260"/>
      <c r="K37" s="261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</row>
    <row r="38" spans="1:84" s="298" customFormat="1" ht="18" hidden="1" customHeight="1">
      <c r="A38" s="292"/>
      <c r="B38" s="144" t="s">
        <v>263</v>
      </c>
      <c r="C38" s="157"/>
      <c r="D38" s="294"/>
      <c r="E38" s="311"/>
      <c r="F38" s="311"/>
      <c r="G38" s="295"/>
      <c r="H38" s="296"/>
      <c r="I38" s="296"/>
      <c r="J38" s="296"/>
      <c r="K38" s="300"/>
    </row>
    <row r="39" spans="1:84" s="318" customFormat="1" ht="47.25" customHeight="1">
      <c r="A39" s="138" t="s">
        <v>264</v>
      </c>
      <c r="B39" s="313" t="s">
        <v>265</v>
      </c>
      <c r="C39" s="314"/>
      <c r="D39" s="315">
        <f t="shared" ref="D39:F39" si="10">D40</f>
        <v>60320</v>
      </c>
      <c r="E39" s="316">
        <f t="shared" si="10"/>
        <v>60320</v>
      </c>
      <c r="F39" s="316">
        <f t="shared" si="10"/>
        <v>60380</v>
      </c>
      <c r="G39" s="317">
        <f>F39/E39*100</f>
        <v>100.09946949602121</v>
      </c>
      <c r="H39" s="290">
        <f t="shared" ref="H39:J39" si="11">H40</f>
        <v>13022</v>
      </c>
      <c r="I39" s="290">
        <f t="shared" si="11"/>
        <v>12903</v>
      </c>
      <c r="J39" s="290">
        <f t="shared" si="11"/>
        <v>12903</v>
      </c>
      <c r="K39" s="289">
        <f t="shared" ref="K39:K41" si="12">J39/I39*100</f>
        <v>100</v>
      </c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</row>
    <row r="40" spans="1:84" s="247" customFormat="1" ht="19.899999999999999" customHeight="1">
      <c r="A40" s="248"/>
      <c r="B40" s="249" t="s">
        <v>169</v>
      </c>
      <c r="C40" s="274"/>
      <c r="D40" s="319">
        <f>D41</f>
        <v>60320</v>
      </c>
      <c r="E40" s="275">
        <f>E41</f>
        <v>60320</v>
      </c>
      <c r="F40" s="275">
        <f>F41</f>
        <v>60380</v>
      </c>
      <c r="G40" s="253">
        <f>F40/E40*100</f>
        <v>100.09946949602121</v>
      </c>
      <c r="H40" s="320">
        <f>H41</f>
        <v>13022</v>
      </c>
      <c r="I40" s="320">
        <f>I41</f>
        <v>12903</v>
      </c>
      <c r="J40" s="320">
        <f>J41</f>
        <v>12903</v>
      </c>
      <c r="K40" s="261">
        <f t="shared" si="12"/>
        <v>100</v>
      </c>
      <c r="L40" s="309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</row>
    <row r="41" spans="1:84" s="247" customFormat="1" ht="18.75">
      <c r="A41" s="321"/>
      <c r="B41" s="322" t="s">
        <v>170</v>
      </c>
      <c r="C41" s="323" t="s">
        <v>266</v>
      </c>
      <c r="D41" s="324">
        <v>60320</v>
      </c>
      <c r="E41" s="325">
        <v>60320</v>
      </c>
      <c r="F41" s="325">
        <v>60380</v>
      </c>
      <c r="G41" s="326">
        <f t="shared" ref="G41" si="13">F41/E41*100</f>
        <v>100.09946949602121</v>
      </c>
      <c r="H41" s="320">
        <v>13022</v>
      </c>
      <c r="I41" s="320">
        <v>12903</v>
      </c>
      <c r="J41" s="320">
        <v>12903</v>
      </c>
      <c r="K41" s="327">
        <f t="shared" si="12"/>
        <v>100</v>
      </c>
      <c r="L41" s="309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</row>
    <row r="42" spans="1:84" s="318" customFormat="1" ht="45.75" customHeight="1">
      <c r="A42" s="138" t="s">
        <v>267</v>
      </c>
      <c r="B42" s="137" t="s">
        <v>268</v>
      </c>
      <c r="C42" s="314"/>
      <c r="D42" s="328">
        <f t="shared" ref="D42:F42" si="14">D43</f>
        <v>45722</v>
      </c>
      <c r="E42" s="316">
        <f>E43</f>
        <v>46712</v>
      </c>
      <c r="F42" s="316">
        <f t="shared" si="14"/>
        <v>49138</v>
      </c>
      <c r="G42" s="317">
        <f>F42/E42*100</f>
        <v>105.19352628874807</v>
      </c>
      <c r="H42" s="329">
        <f>H43</f>
        <v>35297</v>
      </c>
      <c r="I42" s="290">
        <f>J43</f>
        <v>36062</v>
      </c>
      <c r="J42" s="290">
        <f>J43</f>
        <v>36062</v>
      </c>
      <c r="K42" s="289">
        <f>J42/I42*100</f>
        <v>100</v>
      </c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</row>
    <row r="43" spans="1:84" s="247" customFormat="1" ht="18.75">
      <c r="A43" s="248"/>
      <c r="B43" s="249" t="s">
        <v>269</v>
      </c>
      <c r="C43" s="274"/>
      <c r="D43" s="275">
        <f>D44</f>
        <v>45722</v>
      </c>
      <c r="E43" s="275">
        <f>E44</f>
        <v>46712</v>
      </c>
      <c r="F43" s="275">
        <f>F44</f>
        <v>49138</v>
      </c>
      <c r="G43" s="253">
        <f>F43/E43*100</f>
        <v>105.19352628874807</v>
      </c>
      <c r="H43" s="330">
        <f>H44</f>
        <v>35297</v>
      </c>
      <c r="I43" s="330">
        <f>I44</f>
        <v>36062</v>
      </c>
      <c r="J43" s="330">
        <f>J44</f>
        <v>36062</v>
      </c>
      <c r="K43" s="261">
        <f t="shared" ref="K43:K44" si="15">J43/I43*100</f>
        <v>100</v>
      </c>
      <c r="L43" s="309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</row>
    <row r="44" spans="1:84" s="247" customFormat="1" ht="30.75">
      <c r="A44" s="331"/>
      <c r="B44" s="332" t="s">
        <v>270</v>
      </c>
      <c r="C44" s="323" t="s">
        <v>271</v>
      </c>
      <c r="D44" s="325">
        <v>45722</v>
      </c>
      <c r="E44" s="325">
        <v>46712</v>
      </c>
      <c r="F44" s="325">
        <v>49138</v>
      </c>
      <c r="G44" s="326">
        <f>F44/E44*100</f>
        <v>105.19352628874807</v>
      </c>
      <c r="H44" s="330">
        <v>35297</v>
      </c>
      <c r="I44" s="330">
        <v>36062</v>
      </c>
      <c r="J44" s="330">
        <v>36062</v>
      </c>
      <c r="K44" s="327">
        <f t="shared" si="15"/>
        <v>100</v>
      </c>
      <c r="L44" s="309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</row>
    <row r="45" spans="1:84" s="336" customFormat="1" ht="37.5" customHeight="1">
      <c r="A45" s="138" t="s">
        <v>238</v>
      </c>
      <c r="B45" s="333" t="s">
        <v>272</v>
      </c>
      <c r="C45" s="314"/>
      <c r="D45" s="290">
        <f>D46+D94+D104+D109+D116</f>
        <v>22355</v>
      </c>
      <c r="E45" s="290">
        <f t="shared" ref="E45:F45" si="16">E46+E94+E104+E109+E116</f>
        <v>22170</v>
      </c>
      <c r="F45" s="290">
        <f t="shared" si="16"/>
        <v>22187</v>
      </c>
      <c r="G45" s="334">
        <f>F45/E45*100</f>
        <v>100.07668019846641</v>
      </c>
      <c r="H45" s="290">
        <f>H46+H94+H104+H109+H116+H118+H119</f>
        <v>1538548</v>
      </c>
      <c r="I45" s="290">
        <f t="shared" ref="I45:J45" si="17">I46+I94+I104+I109+I116+I118+I119</f>
        <v>1462522</v>
      </c>
      <c r="J45" s="290">
        <f t="shared" si="17"/>
        <v>1447382</v>
      </c>
      <c r="K45" s="335">
        <f t="shared" si="3"/>
        <v>98.964801896997102</v>
      </c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</row>
    <row r="46" spans="1:84" s="247" customFormat="1" ht="19.899999999999999" customHeight="1">
      <c r="A46" s="337"/>
      <c r="B46" s="338" t="s">
        <v>273</v>
      </c>
      <c r="C46" s="339"/>
      <c r="D46" s="259">
        <f>D47+D54+D64+D71+D88+D90+D92</f>
        <v>15682</v>
      </c>
      <c r="E46" s="259">
        <f>E47+E54+E64+E71+E88+E90+E92</f>
        <v>15668</v>
      </c>
      <c r="F46" s="259">
        <f>F47+F54+F64+F71+F88+F90+F92</f>
        <v>15667</v>
      </c>
      <c r="G46" s="259">
        <f>G47+G54+G64+G71+G88+G90+G70</f>
        <v>1299.3978384175989</v>
      </c>
      <c r="H46" s="260">
        <f>H47+H54+H64+H71+H88+H90+H92</f>
        <v>744294</v>
      </c>
      <c r="I46" s="340">
        <f>I47+I54+I64+I71+I88+I90+I92</f>
        <v>735286</v>
      </c>
      <c r="J46" s="340">
        <f>J47+J54+J64+J71+J88+J90+J92</f>
        <v>722412</v>
      </c>
      <c r="K46" s="341">
        <f t="shared" si="3"/>
        <v>98.249116670248043</v>
      </c>
      <c r="L46" s="412"/>
      <c r="M46" s="413"/>
      <c r="N46" s="413"/>
      <c r="O46" s="413"/>
      <c r="P46" s="413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</row>
    <row r="47" spans="1:84" s="247" customFormat="1" ht="27" customHeight="1">
      <c r="A47" s="342" t="s">
        <v>4</v>
      </c>
      <c r="B47" s="249" t="s">
        <v>125</v>
      </c>
      <c r="C47" s="343" t="s">
        <v>61</v>
      </c>
      <c r="D47" s="344">
        <f>D48+D49+D50+D51+D52+D53</f>
        <v>2252</v>
      </c>
      <c r="E47" s="344">
        <f t="shared" ref="E47:F47" si="18">E48+E49+E50+E51+E52+E53</f>
        <v>2241</v>
      </c>
      <c r="F47" s="344">
        <f t="shared" si="18"/>
        <v>2241</v>
      </c>
      <c r="G47" s="257">
        <f>F47/E47*100</f>
        <v>100</v>
      </c>
      <c r="H47" s="345">
        <f>H48+H49+H50+H51+H52+H53</f>
        <v>252572</v>
      </c>
      <c r="I47" s="346">
        <f>I48+I49+I50+I51+I52+I53</f>
        <v>248396</v>
      </c>
      <c r="J47" s="346">
        <f t="shared" ref="J47" si="19">J48+J49+J50+J51+J52+J53</f>
        <v>247959</v>
      </c>
      <c r="K47" s="347">
        <f>J47/I47*100</f>
        <v>99.824071241082791</v>
      </c>
      <c r="L47" s="309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</row>
    <row r="48" spans="1:84" s="352" customFormat="1" ht="18.75">
      <c r="A48" s="348" t="s">
        <v>26</v>
      </c>
      <c r="B48" s="193" t="s">
        <v>128</v>
      </c>
      <c r="C48" s="349" t="s">
        <v>61</v>
      </c>
      <c r="D48" s="195">
        <v>2189</v>
      </c>
      <c r="E48" s="195">
        <v>2159</v>
      </c>
      <c r="F48" s="195">
        <f>E48</f>
        <v>2159</v>
      </c>
      <c r="G48" s="264">
        <f t="shared" ref="G48:G91" si="20">F48/E48*100</f>
        <v>100</v>
      </c>
      <c r="H48" s="268">
        <f>241199-1</f>
        <v>241198</v>
      </c>
      <c r="I48" s="350">
        <v>233521</v>
      </c>
      <c r="J48" s="350">
        <v>233110</v>
      </c>
      <c r="K48" s="351">
        <f t="shared" si="3"/>
        <v>99.823998698189882</v>
      </c>
      <c r="L48" s="298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AW48" s="411"/>
      <c r="AX48" s="411"/>
      <c r="AY48" s="411"/>
      <c r="AZ48" s="411"/>
      <c r="BA48" s="411"/>
      <c r="BB48" s="411"/>
      <c r="BC48" s="411"/>
      <c r="BD48" s="411"/>
      <c r="BE48" s="411"/>
      <c r="BF48" s="411"/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411"/>
      <c r="BR48" s="411"/>
      <c r="BS48" s="411"/>
      <c r="BT48" s="411"/>
      <c r="BU48" s="411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1"/>
    </row>
    <row r="49" spans="1:84" s="247" customFormat="1" ht="45.75">
      <c r="A49" s="348" t="s">
        <v>27</v>
      </c>
      <c r="B49" s="193" t="s">
        <v>126</v>
      </c>
      <c r="C49" s="349" t="s">
        <v>61</v>
      </c>
      <c r="D49" s="195">
        <v>60</v>
      </c>
      <c r="E49" s="195">
        <v>76</v>
      </c>
      <c r="F49" s="195">
        <v>76</v>
      </c>
      <c r="G49" s="264">
        <f t="shared" si="20"/>
        <v>100</v>
      </c>
      <c r="H49" s="268">
        <v>8988</v>
      </c>
      <c r="I49" s="350">
        <v>11265</v>
      </c>
      <c r="J49" s="350">
        <v>11253</v>
      </c>
      <c r="K49" s="351">
        <f t="shared" si="3"/>
        <v>99.893475366178436</v>
      </c>
      <c r="L49" s="309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</row>
    <row r="50" spans="1:84" s="247" customFormat="1" ht="60.75">
      <c r="A50" s="348" t="s">
        <v>28</v>
      </c>
      <c r="B50" s="193" t="s">
        <v>127</v>
      </c>
      <c r="C50" s="349" t="s">
        <v>61</v>
      </c>
      <c r="D50" s="195">
        <v>1</v>
      </c>
      <c r="E50" s="195">
        <v>2</v>
      </c>
      <c r="F50" s="195">
        <v>2</v>
      </c>
      <c r="G50" s="264">
        <f t="shared" si="20"/>
        <v>100</v>
      </c>
      <c r="H50" s="353">
        <v>795</v>
      </c>
      <c r="I50" s="350">
        <v>771</v>
      </c>
      <c r="J50" s="350">
        <v>764</v>
      </c>
      <c r="K50" s="351">
        <f t="shared" si="3"/>
        <v>99.092088197146566</v>
      </c>
      <c r="L50" s="309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  <c r="AE50" s="407"/>
      <c r="AF50" s="407"/>
      <c r="AG50" s="407"/>
      <c r="AH50" s="407"/>
      <c r="AI50" s="407"/>
      <c r="AJ50" s="407"/>
      <c r="AK50" s="407"/>
      <c r="AL50" s="407"/>
      <c r="AM50" s="407"/>
      <c r="AN50" s="407"/>
      <c r="AO50" s="407"/>
      <c r="AP50" s="407"/>
      <c r="AQ50" s="407"/>
      <c r="AR50" s="407"/>
      <c r="AS50" s="407"/>
      <c r="AT50" s="407"/>
      <c r="AU50" s="407"/>
      <c r="AV50" s="407"/>
      <c r="AW50" s="407"/>
      <c r="AX50" s="407"/>
      <c r="AY50" s="407"/>
      <c r="AZ50" s="407"/>
      <c r="BA50" s="407"/>
      <c r="BB50" s="407"/>
      <c r="BC50" s="407"/>
      <c r="BD50" s="407"/>
      <c r="BE50" s="407"/>
      <c r="BF50" s="407"/>
      <c r="BG50" s="407"/>
      <c r="BH50" s="407"/>
      <c r="BI50" s="407"/>
      <c r="BJ50" s="407"/>
      <c r="BK50" s="407"/>
      <c r="BL50" s="407"/>
      <c r="BM50" s="407"/>
      <c r="BN50" s="407"/>
      <c r="BO50" s="407"/>
      <c r="BP50" s="407"/>
      <c r="BQ50" s="407"/>
      <c r="BR50" s="407"/>
      <c r="BS50" s="407"/>
      <c r="BT50" s="407"/>
      <c r="BU50" s="407"/>
      <c r="BV50" s="407"/>
      <c r="BW50" s="407"/>
      <c r="BX50" s="407"/>
      <c r="BY50" s="407"/>
      <c r="BZ50" s="407"/>
      <c r="CA50" s="407"/>
      <c r="CB50" s="407"/>
      <c r="CC50" s="407"/>
      <c r="CD50" s="407"/>
      <c r="CE50" s="407"/>
      <c r="CF50" s="407"/>
    </row>
    <row r="51" spans="1:84" s="352" customFormat="1" ht="60.75">
      <c r="A51" s="348" t="s">
        <v>29</v>
      </c>
      <c r="B51" s="193" t="s">
        <v>274</v>
      </c>
      <c r="C51" s="349" t="s">
        <v>61</v>
      </c>
      <c r="D51" s="195"/>
      <c r="E51" s="195">
        <v>1</v>
      </c>
      <c r="F51" s="195">
        <v>1</v>
      </c>
      <c r="G51" s="264">
        <f t="shared" si="20"/>
        <v>100</v>
      </c>
      <c r="H51" s="353"/>
      <c r="I51" s="350">
        <v>526</v>
      </c>
      <c r="J51" s="350">
        <v>526</v>
      </c>
      <c r="K51" s="351">
        <f t="shared" si="3"/>
        <v>100</v>
      </c>
      <c r="L51" s="298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</row>
    <row r="52" spans="1:84" s="247" customFormat="1" ht="30.75" hidden="1">
      <c r="A52" s="348" t="s">
        <v>30</v>
      </c>
      <c r="B52" s="193" t="s">
        <v>275</v>
      </c>
      <c r="C52" s="349" t="s">
        <v>61</v>
      </c>
      <c r="D52" s="195"/>
      <c r="E52" s="195"/>
      <c r="F52" s="195"/>
      <c r="G52" s="264"/>
      <c r="H52" s="353"/>
      <c r="I52" s="350"/>
      <c r="J52" s="350"/>
      <c r="K52" s="351"/>
      <c r="L52" s="309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</row>
    <row r="53" spans="1:84" s="247" customFormat="1" ht="45.75">
      <c r="A53" s="348" t="s">
        <v>30</v>
      </c>
      <c r="B53" s="193" t="s">
        <v>276</v>
      </c>
      <c r="C53" s="349" t="s">
        <v>61</v>
      </c>
      <c r="D53" s="195">
        <v>2</v>
      </c>
      <c r="E53" s="195">
        <v>3</v>
      </c>
      <c r="F53" s="195">
        <v>3</v>
      </c>
      <c r="G53" s="264">
        <f t="shared" si="20"/>
        <v>100</v>
      </c>
      <c r="H53" s="268">
        <v>1591</v>
      </c>
      <c r="I53" s="350">
        <v>2313</v>
      </c>
      <c r="J53" s="350">
        <v>2306</v>
      </c>
      <c r="K53" s="351">
        <f t="shared" si="3"/>
        <v>99.697362732382189</v>
      </c>
      <c r="L53" s="309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</row>
    <row r="54" spans="1:84" s="247" customFormat="1" ht="18.75">
      <c r="A54" s="342" t="s">
        <v>6</v>
      </c>
      <c r="B54" s="249" t="s">
        <v>130</v>
      </c>
      <c r="C54" s="354" t="s">
        <v>61</v>
      </c>
      <c r="D54" s="344">
        <f>D55+D56+D57+D58+D59+D60+D61+D62+D63</f>
        <v>2547</v>
      </c>
      <c r="E54" s="344">
        <f>E55+E56+E57+E58+E59+E60+E61+E62+E63</f>
        <v>2541</v>
      </c>
      <c r="F54" s="344">
        <f>F55+F56+F57+F58+F59+F60+F61+F62+F63</f>
        <v>2541</v>
      </c>
      <c r="G54" s="257">
        <f>F54/E54*100</f>
        <v>100</v>
      </c>
      <c r="H54" s="260">
        <f>H55+H56+H57+H58+H59+H60+H61+H62+H63</f>
        <v>336264</v>
      </c>
      <c r="I54" s="340">
        <f>I55+I56+I57+I58+I59+I60+I61+I62+I63</f>
        <v>328058</v>
      </c>
      <c r="J54" s="340">
        <f>J55+J56+J57+J58+J59+J60+J61+J62+J63</f>
        <v>327557</v>
      </c>
      <c r="K54" s="341">
        <f t="shared" si="3"/>
        <v>99.847283102378242</v>
      </c>
      <c r="L54" s="412"/>
      <c r="M54" s="413"/>
      <c r="N54" s="413"/>
      <c r="O54" s="413"/>
      <c r="P54" s="413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</row>
    <row r="55" spans="1:84" s="247" customFormat="1" ht="18.75">
      <c r="A55" s="348" t="s">
        <v>7</v>
      </c>
      <c r="B55" s="193" t="s">
        <v>134</v>
      </c>
      <c r="C55" s="349" t="s">
        <v>61</v>
      </c>
      <c r="D55" s="195">
        <v>1929</v>
      </c>
      <c r="E55" s="195">
        <v>1931</v>
      </c>
      <c r="F55" s="195">
        <v>1931</v>
      </c>
      <c r="G55" s="264">
        <f t="shared" si="20"/>
        <v>100</v>
      </c>
      <c r="H55" s="268">
        <v>242023</v>
      </c>
      <c r="I55" s="350">
        <f>239762+1</f>
        <v>239763</v>
      </c>
      <c r="J55" s="350">
        <v>239616</v>
      </c>
      <c r="K55" s="351">
        <f t="shared" si="3"/>
        <v>99.938689455837633</v>
      </c>
      <c r="L55" s="412"/>
      <c r="M55" s="413"/>
      <c r="N55" s="413"/>
      <c r="O55" s="413"/>
      <c r="P55" s="413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</row>
    <row r="56" spans="1:84" s="247" customFormat="1" ht="45.75">
      <c r="A56" s="348" t="s">
        <v>12</v>
      </c>
      <c r="B56" s="193" t="s">
        <v>131</v>
      </c>
      <c r="C56" s="349" t="s">
        <v>61</v>
      </c>
      <c r="D56" s="195">
        <v>92</v>
      </c>
      <c r="E56" s="195">
        <v>101</v>
      </c>
      <c r="F56" s="195">
        <v>101</v>
      </c>
      <c r="G56" s="264">
        <f t="shared" si="20"/>
        <v>100</v>
      </c>
      <c r="H56" s="268">
        <v>14203</v>
      </c>
      <c r="I56" s="350">
        <v>14670</v>
      </c>
      <c r="J56" s="350">
        <v>14666</v>
      </c>
      <c r="K56" s="351">
        <f>J56/I56*100</f>
        <v>99.972733469665982</v>
      </c>
      <c r="L56" s="309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</row>
    <row r="57" spans="1:84" s="352" customFormat="1" ht="60.75">
      <c r="A57" s="348" t="s">
        <v>14</v>
      </c>
      <c r="B57" s="193" t="s">
        <v>132</v>
      </c>
      <c r="C57" s="349" t="s">
        <v>61</v>
      </c>
      <c r="D57" s="195">
        <v>6</v>
      </c>
      <c r="E57" s="195">
        <v>5</v>
      </c>
      <c r="F57" s="195">
        <v>5</v>
      </c>
      <c r="G57" s="264">
        <f t="shared" si="20"/>
        <v>100</v>
      </c>
      <c r="H57" s="268">
        <v>4773</v>
      </c>
      <c r="I57" s="350">
        <v>3929</v>
      </c>
      <c r="J57" s="350">
        <v>3929</v>
      </c>
      <c r="K57" s="351">
        <f t="shared" si="3"/>
        <v>100</v>
      </c>
      <c r="L57" s="298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1"/>
      <c r="BN57" s="411"/>
      <c r="BO57" s="411"/>
      <c r="BP57" s="411"/>
      <c r="BQ57" s="411"/>
      <c r="BR57" s="411"/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1"/>
      <c r="CD57" s="411"/>
      <c r="CE57" s="411"/>
      <c r="CF57" s="411"/>
    </row>
    <row r="58" spans="1:84" s="247" customFormat="1" ht="45.75">
      <c r="A58" s="348" t="s">
        <v>16</v>
      </c>
      <c r="B58" s="193" t="s">
        <v>133</v>
      </c>
      <c r="C58" s="349" t="s">
        <v>61</v>
      </c>
      <c r="D58" s="195">
        <v>511</v>
      </c>
      <c r="E58" s="195">
        <v>496</v>
      </c>
      <c r="F58" s="195">
        <v>496</v>
      </c>
      <c r="G58" s="264">
        <f t="shared" si="20"/>
        <v>100</v>
      </c>
      <c r="H58" s="268">
        <v>68106</v>
      </c>
      <c r="I58" s="350">
        <v>63388</v>
      </c>
      <c r="J58" s="350">
        <v>63038</v>
      </c>
      <c r="K58" s="351">
        <f t="shared" si="3"/>
        <v>99.447845017984477</v>
      </c>
      <c r="L58" s="309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7"/>
      <c r="CB58" s="407"/>
      <c r="CC58" s="407"/>
      <c r="CD58" s="407"/>
      <c r="CE58" s="407"/>
      <c r="CF58" s="407"/>
    </row>
    <row r="59" spans="1:84" s="247" customFormat="1" ht="60.75" hidden="1">
      <c r="A59" s="348" t="s">
        <v>191</v>
      </c>
      <c r="B59" s="193" t="s">
        <v>277</v>
      </c>
      <c r="C59" s="349" t="s">
        <v>61</v>
      </c>
      <c r="D59" s="195"/>
      <c r="E59" s="195"/>
      <c r="F59" s="195"/>
      <c r="G59" s="264"/>
      <c r="H59" s="353"/>
      <c r="I59" s="350"/>
      <c r="J59" s="350"/>
      <c r="K59" s="351"/>
      <c r="L59" s="309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</row>
    <row r="60" spans="1:84" s="352" customFormat="1" ht="18.75" hidden="1">
      <c r="A60" s="348" t="s">
        <v>256</v>
      </c>
      <c r="B60" s="193" t="s">
        <v>278</v>
      </c>
      <c r="C60" s="349" t="s">
        <v>61</v>
      </c>
      <c r="D60" s="195">
        <v>0</v>
      </c>
      <c r="E60" s="195">
        <v>0</v>
      </c>
      <c r="F60" s="195">
        <v>0</v>
      </c>
      <c r="G60" s="264" t="e">
        <f t="shared" si="20"/>
        <v>#DIV/0!</v>
      </c>
      <c r="H60" s="353"/>
      <c r="I60" s="350"/>
      <c r="J60" s="350"/>
      <c r="K60" s="351" t="e">
        <f t="shared" si="3"/>
        <v>#DIV/0!</v>
      </c>
      <c r="L60" s="298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</row>
    <row r="61" spans="1:84" s="247" customFormat="1" ht="45.75">
      <c r="A61" s="348" t="s">
        <v>256</v>
      </c>
      <c r="B61" s="193" t="s">
        <v>279</v>
      </c>
      <c r="C61" s="349" t="s">
        <v>61</v>
      </c>
      <c r="D61" s="195">
        <v>7</v>
      </c>
      <c r="E61" s="195">
        <v>6</v>
      </c>
      <c r="F61" s="195">
        <v>6</v>
      </c>
      <c r="G61" s="264">
        <f t="shared" si="20"/>
        <v>100</v>
      </c>
      <c r="H61" s="353">
        <v>5568</v>
      </c>
      <c r="I61" s="350">
        <v>4717</v>
      </c>
      <c r="J61" s="350">
        <v>4717</v>
      </c>
      <c r="K61" s="351">
        <f t="shared" si="3"/>
        <v>100</v>
      </c>
      <c r="L61" s="309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</row>
    <row r="62" spans="1:84" s="247" customFormat="1" ht="75.75" hidden="1">
      <c r="A62" s="348" t="s">
        <v>210</v>
      </c>
      <c r="B62" s="193" t="s">
        <v>280</v>
      </c>
      <c r="C62" s="349" t="s">
        <v>61</v>
      </c>
      <c r="D62" s="195"/>
      <c r="E62" s="195"/>
      <c r="F62" s="195"/>
      <c r="G62" s="264"/>
      <c r="H62" s="353"/>
      <c r="I62" s="350"/>
      <c r="J62" s="350"/>
      <c r="K62" s="351"/>
      <c r="L62" s="309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</row>
    <row r="63" spans="1:84" s="247" customFormat="1" ht="30.75">
      <c r="A63" s="348" t="s">
        <v>210</v>
      </c>
      <c r="B63" s="193" t="s">
        <v>281</v>
      </c>
      <c r="C63" s="349" t="s">
        <v>61</v>
      </c>
      <c r="D63" s="195">
        <v>2</v>
      </c>
      <c r="E63" s="195">
        <v>2</v>
      </c>
      <c r="F63" s="195">
        <v>2</v>
      </c>
      <c r="G63" s="264">
        <f t="shared" si="20"/>
        <v>100</v>
      </c>
      <c r="H63" s="353">
        <v>1591</v>
      </c>
      <c r="I63" s="355">
        <v>1591</v>
      </c>
      <c r="J63" s="355">
        <v>1591</v>
      </c>
      <c r="K63" s="351">
        <f t="shared" si="3"/>
        <v>100</v>
      </c>
      <c r="L63" s="412"/>
      <c r="M63" s="413"/>
      <c r="N63" s="413"/>
      <c r="O63" s="413"/>
      <c r="P63" s="413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</row>
    <row r="64" spans="1:84" s="247" customFormat="1" ht="18.75">
      <c r="A64" s="342" t="s">
        <v>8</v>
      </c>
      <c r="B64" s="249" t="s">
        <v>136</v>
      </c>
      <c r="C64" s="343" t="s">
        <v>61</v>
      </c>
      <c r="D64" s="344">
        <f t="shared" ref="D64:F64" si="21">D65+D66+D67+D68+D69+D70</f>
        <v>526</v>
      </c>
      <c r="E64" s="344">
        <f t="shared" si="21"/>
        <v>515</v>
      </c>
      <c r="F64" s="344">
        <f t="shared" si="21"/>
        <v>515</v>
      </c>
      <c r="G64" s="344">
        <f t="shared" ref="G64" si="22">G65+G66+G67+G68+G69</f>
        <v>400</v>
      </c>
      <c r="H64" s="345">
        <f>H65+H66+H67+H68+H69+H70</f>
        <v>75885</v>
      </c>
      <c r="I64" s="345">
        <f t="shared" ref="I64:J64" si="23">I65+I66+I67+I68+I69+I70</f>
        <v>74066</v>
      </c>
      <c r="J64" s="345">
        <f t="shared" si="23"/>
        <v>73927</v>
      </c>
      <c r="K64" s="341">
        <f t="shared" si="3"/>
        <v>99.812329543920285</v>
      </c>
      <c r="L64" s="412"/>
      <c r="M64" s="413"/>
      <c r="N64" s="413"/>
      <c r="O64" s="413"/>
      <c r="P64" s="413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O64" s="407"/>
      <c r="AP64" s="407"/>
      <c r="AQ64" s="407"/>
      <c r="AR64" s="407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7"/>
      <c r="CC64" s="407"/>
      <c r="CD64" s="407"/>
      <c r="CE64" s="407"/>
      <c r="CF64" s="407"/>
    </row>
    <row r="65" spans="1:84" s="247" customFormat="1" ht="36.75" customHeight="1">
      <c r="A65" s="348" t="s">
        <v>62</v>
      </c>
      <c r="B65" s="193" t="s">
        <v>141</v>
      </c>
      <c r="C65" s="349" t="s">
        <v>61</v>
      </c>
      <c r="D65" s="195">
        <v>92</v>
      </c>
      <c r="E65" s="195">
        <v>87</v>
      </c>
      <c r="F65" s="195">
        <v>87</v>
      </c>
      <c r="G65" s="264">
        <f t="shared" si="20"/>
        <v>100</v>
      </c>
      <c r="H65" s="353">
        <v>12991</v>
      </c>
      <c r="I65" s="350">
        <v>12145</v>
      </c>
      <c r="J65" s="350">
        <v>12145</v>
      </c>
      <c r="K65" s="351">
        <f t="shared" si="3"/>
        <v>100</v>
      </c>
      <c r="L65" s="309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</row>
    <row r="66" spans="1:84" s="352" customFormat="1" ht="30.75" customHeight="1">
      <c r="A66" s="348" t="s">
        <v>144</v>
      </c>
      <c r="B66" s="193" t="s">
        <v>282</v>
      </c>
      <c r="C66" s="349" t="s">
        <v>61</v>
      </c>
      <c r="D66" s="195">
        <v>0</v>
      </c>
      <c r="E66" s="195">
        <v>1</v>
      </c>
      <c r="F66" s="195">
        <v>1</v>
      </c>
      <c r="G66" s="264">
        <f t="shared" si="20"/>
        <v>100</v>
      </c>
      <c r="H66" s="353">
        <v>0</v>
      </c>
      <c r="I66" s="355">
        <v>264</v>
      </c>
      <c r="J66" s="355">
        <v>264</v>
      </c>
      <c r="K66" s="351">
        <f t="shared" si="3"/>
        <v>100</v>
      </c>
      <c r="L66" s="298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411"/>
      <c r="BP66" s="411"/>
      <c r="BQ66" s="411"/>
      <c r="BR66" s="411"/>
      <c r="BS66" s="411"/>
      <c r="BT66" s="411"/>
      <c r="BU66" s="411"/>
      <c r="BV66" s="411"/>
      <c r="BW66" s="411"/>
      <c r="BX66" s="411"/>
      <c r="BY66" s="411"/>
      <c r="BZ66" s="411"/>
      <c r="CA66" s="411"/>
      <c r="CB66" s="411"/>
      <c r="CC66" s="411"/>
      <c r="CD66" s="411"/>
      <c r="CE66" s="411"/>
      <c r="CF66" s="411"/>
    </row>
    <row r="67" spans="1:84" s="247" customFormat="1" ht="45.75">
      <c r="A67" s="348" t="s">
        <v>63</v>
      </c>
      <c r="B67" s="193" t="s">
        <v>283</v>
      </c>
      <c r="C67" s="349" t="s">
        <v>61</v>
      </c>
      <c r="D67" s="195">
        <v>431</v>
      </c>
      <c r="E67" s="195">
        <v>423</v>
      </c>
      <c r="F67" s="195">
        <v>423</v>
      </c>
      <c r="G67" s="264">
        <f t="shared" si="20"/>
        <v>100</v>
      </c>
      <c r="H67" s="268">
        <v>61268</v>
      </c>
      <c r="I67" s="350">
        <v>59767</v>
      </c>
      <c r="J67" s="350">
        <v>59628</v>
      </c>
      <c r="K67" s="351">
        <f t="shared" si="3"/>
        <v>99.767430187227063</v>
      </c>
      <c r="L67" s="309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</row>
    <row r="68" spans="1:84" s="247" customFormat="1" ht="30.75">
      <c r="A68" s="348" t="s">
        <v>212</v>
      </c>
      <c r="B68" s="193" t="s">
        <v>284</v>
      </c>
      <c r="C68" s="349" t="s">
        <v>61</v>
      </c>
      <c r="D68" s="195"/>
      <c r="E68" s="195">
        <v>1</v>
      </c>
      <c r="F68" s="195">
        <v>1</v>
      </c>
      <c r="G68" s="264">
        <v>0</v>
      </c>
      <c r="H68" s="353">
        <v>0</v>
      </c>
      <c r="I68" s="355">
        <v>264</v>
      </c>
      <c r="J68" s="355">
        <v>264</v>
      </c>
      <c r="K68" s="351">
        <v>0</v>
      </c>
      <c r="L68" s="309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</row>
    <row r="69" spans="1:84" s="352" customFormat="1" ht="30.75">
      <c r="A69" s="348" t="s">
        <v>285</v>
      </c>
      <c r="B69" s="193" t="s">
        <v>286</v>
      </c>
      <c r="C69" s="349" t="s">
        <v>61</v>
      </c>
      <c r="D69" s="195">
        <v>2</v>
      </c>
      <c r="E69" s="195">
        <v>2</v>
      </c>
      <c r="F69" s="195">
        <v>2</v>
      </c>
      <c r="G69" s="264">
        <f t="shared" si="20"/>
        <v>100</v>
      </c>
      <c r="H69" s="353">
        <v>1593</v>
      </c>
      <c r="I69" s="355">
        <v>1591</v>
      </c>
      <c r="J69" s="355">
        <v>1591</v>
      </c>
      <c r="K69" s="351">
        <f t="shared" si="3"/>
        <v>100</v>
      </c>
      <c r="L69" s="298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BX69" s="411"/>
      <c r="BY69" s="411"/>
      <c r="BZ69" s="411"/>
      <c r="CA69" s="411"/>
      <c r="CB69" s="411"/>
      <c r="CC69" s="411"/>
      <c r="CD69" s="411"/>
      <c r="CE69" s="411"/>
      <c r="CF69" s="411"/>
    </row>
    <row r="70" spans="1:84" s="247" customFormat="1" ht="45.75">
      <c r="A70" s="348" t="s">
        <v>211</v>
      </c>
      <c r="B70" s="193" t="s">
        <v>193</v>
      </c>
      <c r="C70" s="349" t="s">
        <v>61</v>
      </c>
      <c r="D70" s="195">
        <v>1</v>
      </c>
      <c r="E70" s="195">
        <v>1</v>
      </c>
      <c r="F70" s="195">
        <v>1</v>
      </c>
      <c r="G70" s="264">
        <f t="shared" si="20"/>
        <v>100</v>
      </c>
      <c r="H70" s="353">
        <v>33</v>
      </c>
      <c r="I70" s="355">
        <v>35</v>
      </c>
      <c r="J70" s="355">
        <v>35</v>
      </c>
      <c r="K70" s="351">
        <f t="shared" si="3"/>
        <v>100</v>
      </c>
      <c r="L70" s="309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7"/>
      <c r="BD70" s="407"/>
      <c r="BE70" s="407"/>
      <c r="BF70" s="407"/>
      <c r="BG70" s="407"/>
      <c r="BH70" s="407"/>
      <c r="BI70" s="407"/>
      <c r="BJ70" s="407"/>
      <c r="BK70" s="407"/>
      <c r="BL70" s="407"/>
      <c r="BM70" s="407"/>
      <c r="BN70" s="407"/>
      <c r="BO70" s="407"/>
      <c r="BP70" s="407"/>
      <c r="BQ70" s="407"/>
      <c r="BR70" s="407"/>
      <c r="BS70" s="407"/>
      <c r="BT70" s="407"/>
      <c r="BU70" s="407"/>
      <c r="BV70" s="407"/>
      <c r="BW70" s="407"/>
      <c r="BX70" s="407"/>
      <c r="BY70" s="407"/>
      <c r="BZ70" s="407"/>
      <c r="CA70" s="407"/>
      <c r="CB70" s="407"/>
      <c r="CC70" s="407"/>
      <c r="CD70" s="407"/>
      <c r="CE70" s="407"/>
      <c r="CF70" s="407"/>
    </row>
    <row r="71" spans="1:84" s="247" customFormat="1" ht="18.75">
      <c r="A71" s="356" t="s">
        <v>18</v>
      </c>
      <c r="B71" s="249" t="s">
        <v>64</v>
      </c>
      <c r="C71" s="343" t="s">
        <v>61</v>
      </c>
      <c r="D71" s="344">
        <f>D72+D76+D80+D84</f>
        <v>3754</v>
      </c>
      <c r="E71" s="344">
        <f t="shared" ref="E71:K71" si="24">E72+E76+E80+E84</f>
        <v>4167</v>
      </c>
      <c r="F71" s="344">
        <f t="shared" si="24"/>
        <v>4166</v>
      </c>
      <c r="G71" s="344">
        <f t="shared" si="24"/>
        <v>399.39783841759896</v>
      </c>
      <c r="H71" s="345">
        <f t="shared" si="24"/>
        <v>67263</v>
      </c>
      <c r="I71" s="346">
        <f t="shared" si="24"/>
        <v>72984</v>
      </c>
      <c r="J71" s="346">
        <f t="shared" si="24"/>
        <v>61187</v>
      </c>
      <c r="K71" s="357">
        <f t="shared" si="24"/>
        <v>345.3392282016444</v>
      </c>
      <c r="L71" s="309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</row>
    <row r="72" spans="1:84" s="247" customFormat="1" ht="18.75">
      <c r="A72" s="348" t="s">
        <v>65</v>
      </c>
      <c r="B72" s="193" t="s">
        <v>287</v>
      </c>
      <c r="C72" s="349" t="s">
        <v>61</v>
      </c>
      <c r="D72" s="195">
        <f>D73+D74+D75</f>
        <v>1570</v>
      </c>
      <c r="E72" s="195">
        <f>E73+E74+E75</f>
        <v>1648</v>
      </c>
      <c r="F72" s="195">
        <f t="shared" ref="F72" si="25">F73+F74+F75</f>
        <v>1653</v>
      </c>
      <c r="G72" s="264">
        <f t="shared" si="20"/>
        <v>100.30339805825244</v>
      </c>
      <c r="H72" s="268">
        <f>H73+H74+H75</f>
        <v>51245</v>
      </c>
      <c r="I72" s="350">
        <f>I73+I74+I75</f>
        <v>51419</v>
      </c>
      <c r="J72" s="350">
        <f>J73+J74+J75</f>
        <v>44118</v>
      </c>
      <c r="K72" s="351">
        <f t="shared" ref="K72:K92" si="26">J72/I72*100</f>
        <v>85.800968513584479</v>
      </c>
      <c r="L72" s="412"/>
      <c r="M72" s="413"/>
      <c r="N72" s="413"/>
      <c r="O72" s="413"/>
      <c r="P72" s="413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</row>
    <row r="73" spans="1:84" s="247" customFormat="1" ht="18.75">
      <c r="A73" s="348"/>
      <c r="B73" s="358" t="s">
        <v>67</v>
      </c>
      <c r="C73" s="349" t="s">
        <v>61</v>
      </c>
      <c r="D73" s="195">
        <v>706</v>
      </c>
      <c r="E73" s="195">
        <v>747</v>
      </c>
      <c r="F73" s="195">
        <v>749</v>
      </c>
      <c r="G73" s="264">
        <f t="shared" si="20"/>
        <v>100.26773761713521</v>
      </c>
      <c r="H73" s="268">
        <v>23044</v>
      </c>
      <c r="I73" s="350">
        <v>23316</v>
      </c>
      <c r="J73" s="350">
        <v>20013</v>
      </c>
      <c r="K73" s="351">
        <f t="shared" si="26"/>
        <v>85.833762223365923</v>
      </c>
      <c r="L73" s="412"/>
      <c r="M73" s="413"/>
      <c r="N73" s="413"/>
      <c r="O73" s="413"/>
      <c r="P73" s="413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7"/>
      <c r="CC73" s="407"/>
      <c r="CD73" s="407"/>
      <c r="CE73" s="407"/>
      <c r="CF73" s="407"/>
    </row>
    <row r="74" spans="1:84" s="247" customFormat="1" ht="18.75">
      <c r="A74" s="348"/>
      <c r="B74" s="358" t="s">
        <v>68</v>
      </c>
      <c r="C74" s="349" t="s">
        <v>61</v>
      </c>
      <c r="D74" s="195">
        <v>761</v>
      </c>
      <c r="E74" s="195">
        <v>790</v>
      </c>
      <c r="F74" s="195">
        <v>793</v>
      </c>
      <c r="G74" s="264">
        <f t="shared" si="20"/>
        <v>100.37974683544304</v>
      </c>
      <c r="H74" s="268">
        <v>24839</v>
      </c>
      <c r="I74" s="350">
        <v>24634</v>
      </c>
      <c r="J74" s="350">
        <v>21134</v>
      </c>
      <c r="K74" s="351">
        <f t="shared" si="26"/>
        <v>85.791994803929526</v>
      </c>
      <c r="L74" s="309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</row>
    <row r="75" spans="1:84" s="352" customFormat="1" ht="18.75">
      <c r="A75" s="348"/>
      <c r="B75" s="358" t="s">
        <v>69</v>
      </c>
      <c r="C75" s="349" t="s">
        <v>61</v>
      </c>
      <c r="D75" s="195">
        <v>103</v>
      </c>
      <c r="E75" s="195">
        <v>111</v>
      </c>
      <c r="F75" s="195">
        <v>111</v>
      </c>
      <c r="G75" s="264">
        <f t="shared" si="20"/>
        <v>100</v>
      </c>
      <c r="H75" s="268">
        <v>3362</v>
      </c>
      <c r="I75" s="350">
        <v>3469</v>
      </c>
      <c r="J75" s="350">
        <v>2971</v>
      </c>
      <c r="K75" s="351">
        <f t="shared" si="26"/>
        <v>85.64427788988182</v>
      </c>
      <c r="L75" s="298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  <c r="AH75" s="411"/>
      <c r="AI75" s="411"/>
      <c r="AJ75" s="411"/>
      <c r="AK75" s="411"/>
      <c r="AL75" s="411"/>
      <c r="AM75" s="411"/>
      <c r="AN75" s="411"/>
      <c r="AO75" s="411"/>
      <c r="AP75" s="411"/>
      <c r="AQ75" s="411"/>
      <c r="AR75" s="411"/>
      <c r="AS75" s="411"/>
      <c r="AT75" s="411"/>
      <c r="AU75" s="411"/>
      <c r="AV75" s="411"/>
      <c r="AW75" s="411"/>
      <c r="AX75" s="411"/>
      <c r="AY75" s="411"/>
      <c r="AZ75" s="411"/>
      <c r="BA75" s="411"/>
      <c r="BB75" s="411"/>
      <c r="BC75" s="411"/>
      <c r="BD75" s="411"/>
      <c r="BE75" s="411"/>
      <c r="BF75" s="411"/>
      <c r="BG75" s="411"/>
      <c r="BH75" s="411"/>
      <c r="BI75" s="411"/>
      <c r="BJ75" s="411"/>
      <c r="BK75" s="411"/>
      <c r="BL75" s="411"/>
      <c r="BM75" s="411"/>
      <c r="BN75" s="411"/>
      <c r="BO75" s="411"/>
      <c r="BP75" s="411"/>
      <c r="BQ75" s="411"/>
      <c r="BR75" s="411"/>
      <c r="BS75" s="411"/>
      <c r="BT75" s="411"/>
      <c r="BU75" s="411"/>
      <c r="BV75" s="411"/>
      <c r="BW75" s="411"/>
      <c r="BX75" s="411"/>
      <c r="BY75" s="411"/>
      <c r="BZ75" s="411"/>
      <c r="CA75" s="411"/>
      <c r="CB75" s="411"/>
      <c r="CC75" s="411"/>
      <c r="CD75" s="411"/>
      <c r="CE75" s="411"/>
      <c r="CF75" s="411"/>
    </row>
    <row r="76" spans="1:84" s="247" customFormat="1" ht="18.75">
      <c r="A76" s="348" t="s">
        <v>70</v>
      </c>
      <c r="B76" s="193" t="s">
        <v>288</v>
      </c>
      <c r="C76" s="349" t="s">
        <v>61</v>
      </c>
      <c r="D76" s="195">
        <f>D77+D78+D79</f>
        <v>4</v>
      </c>
      <c r="E76" s="195">
        <f>E77+E78+E79</f>
        <v>5</v>
      </c>
      <c r="F76" s="195">
        <f t="shared" ref="F76" si="27">F77+F78+F79</f>
        <v>5</v>
      </c>
      <c r="G76" s="264">
        <f t="shared" si="20"/>
        <v>100</v>
      </c>
      <c r="H76" s="353">
        <f>H77+H78+H79</f>
        <v>87</v>
      </c>
      <c r="I76" s="355">
        <f>I77+I78+I79</f>
        <v>109</v>
      </c>
      <c r="J76" s="355">
        <v>109</v>
      </c>
      <c r="K76" s="351">
        <f t="shared" si="26"/>
        <v>100</v>
      </c>
      <c r="L76" s="309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</row>
    <row r="77" spans="1:84" s="247" customFormat="1" ht="18.75">
      <c r="A77" s="348"/>
      <c r="B77" s="358" t="s">
        <v>67</v>
      </c>
      <c r="C77" s="349" t="s">
        <v>61</v>
      </c>
      <c r="D77" s="195">
        <v>1</v>
      </c>
      <c r="E77" s="195">
        <v>1</v>
      </c>
      <c r="F77" s="195">
        <v>1</v>
      </c>
      <c r="G77" s="264">
        <v>0</v>
      </c>
      <c r="H77" s="353">
        <v>22</v>
      </c>
      <c r="I77" s="350">
        <v>22</v>
      </c>
      <c r="J77" s="350">
        <v>22</v>
      </c>
      <c r="K77" s="351">
        <f t="shared" si="26"/>
        <v>100</v>
      </c>
      <c r="L77" s="309"/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</row>
    <row r="78" spans="1:84" s="352" customFormat="1" ht="18.75">
      <c r="A78" s="348"/>
      <c r="B78" s="358" t="s">
        <v>68</v>
      </c>
      <c r="C78" s="349" t="s">
        <v>61</v>
      </c>
      <c r="D78" s="195">
        <v>3</v>
      </c>
      <c r="E78" s="195">
        <v>4</v>
      </c>
      <c r="F78" s="195">
        <v>4</v>
      </c>
      <c r="G78" s="264">
        <f t="shared" si="20"/>
        <v>100</v>
      </c>
      <c r="H78" s="268">
        <v>65</v>
      </c>
      <c r="I78" s="350">
        <v>87</v>
      </c>
      <c r="J78" s="350">
        <v>87</v>
      </c>
      <c r="K78" s="351">
        <f t="shared" si="26"/>
        <v>100</v>
      </c>
      <c r="L78" s="298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</row>
    <row r="79" spans="1:84" s="247" customFormat="1" ht="18.75" hidden="1">
      <c r="A79" s="348"/>
      <c r="B79" s="358" t="s">
        <v>69</v>
      </c>
      <c r="C79" s="349" t="s">
        <v>61</v>
      </c>
      <c r="D79" s="195">
        <v>0</v>
      </c>
      <c r="E79" s="195">
        <v>0</v>
      </c>
      <c r="F79" s="195">
        <v>0</v>
      </c>
      <c r="G79" s="264" t="e">
        <f t="shared" si="20"/>
        <v>#DIV/0!</v>
      </c>
      <c r="H79" s="268">
        <v>0</v>
      </c>
      <c r="I79" s="350">
        <v>0</v>
      </c>
      <c r="J79" s="350">
        <v>0</v>
      </c>
      <c r="K79" s="351" t="e">
        <f t="shared" si="26"/>
        <v>#DIV/0!</v>
      </c>
      <c r="L79" s="309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7"/>
      <c r="AQ79" s="407"/>
      <c r="AR79" s="407"/>
      <c r="AS79" s="407"/>
      <c r="AT79" s="407"/>
      <c r="AU79" s="407"/>
      <c r="AV79" s="407"/>
      <c r="AW79" s="407"/>
      <c r="AX79" s="407"/>
      <c r="AY79" s="407"/>
      <c r="AZ79" s="407"/>
      <c r="BA79" s="407"/>
      <c r="BB79" s="407"/>
      <c r="BC79" s="407"/>
      <c r="BD79" s="407"/>
      <c r="BE79" s="407"/>
      <c r="BF79" s="407"/>
      <c r="BG79" s="407"/>
      <c r="BH79" s="407"/>
      <c r="BI79" s="407"/>
      <c r="BJ79" s="407"/>
      <c r="BK79" s="407"/>
      <c r="BL79" s="407"/>
      <c r="BM79" s="407"/>
      <c r="BN79" s="407"/>
      <c r="BO79" s="407"/>
      <c r="BP79" s="407"/>
      <c r="BQ79" s="407"/>
      <c r="BR79" s="407"/>
      <c r="BS79" s="407"/>
      <c r="BT79" s="407"/>
      <c r="BU79" s="407"/>
      <c r="BV79" s="407"/>
      <c r="BW79" s="407"/>
      <c r="BX79" s="407"/>
      <c r="BY79" s="407"/>
      <c r="BZ79" s="407"/>
      <c r="CA79" s="407"/>
      <c r="CB79" s="407"/>
      <c r="CC79" s="407"/>
      <c r="CD79" s="407"/>
      <c r="CE79" s="407"/>
      <c r="CF79" s="407"/>
    </row>
    <row r="80" spans="1:84" s="247" customFormat="1" ht="18.75">
      <c r="A80" s="348" t="s">
        <v>72</v>
      </c>
      <c r="B80" s="193" t="s">
        <v>289</v>
      </c>
      <c r="C80" s="349" t="s">
        <v>61</v>
      </c>
      <c r="D80" s="195">
        <f>D81+D82+D83</f>
        <v>2180</v>
      </c>
      <c r="E80" s="195">
        <f>E81+E82+E83</f>
        <v>2018</v>
      </c>
      <c r="F80" s="195">
        <f t="shared" ref="F80" si="28">F81+F82+F83</f>
        <v>2016</v>
      </c>
      <c r="G80" s="264">
        <f t="shared" si="20"/>
        <v>99.900891972249752</v>
      </c>
      <c r="H80" s="353">
        <f>H81+H82+H83</f>
        <v>15931</v>
      </c>
      <c r="I80" s="355">
        <f>I81+I82+I83</f>
        <v>11595</v>
      </c>
      <c r="J80" s="355">
        <f>J81+J82+J83</f>
        <v>8211</v>
      </c>
      <c r="K80" s="351">
        <f t="shared" si="26"/>
        <v>70.815006468305313</v>
      </c>
      <c r="L80" s="309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</row>
    <row r="81" spans="1:84" s="247" customFormat="1" ht="18.75">
      <c r="A81" s="348"/>
      <c r="B81" s="358" t="s">
        <v>67</v>
      </c>
      <c r="C81" s="349" t="s">
        <v>61</v>
      </c>
      <c r="D81" s="195">
        <v>1159</v>
      </c>
      <c r="E81" s="195">
        <v>819</v>
      </c>
      <c r="F81" s="195">
        <f>E81</f>
        <v>819</v>
      </c>
      <c r="G81" s="264">
        <f t="shared" si="20"/>
        <v>100</v>
      </c>
      <c r="H81" s="268">
        <v>8159</v>
      </c>
      <c r="I81" s="350">
        <v>4444</v>
      </c>
      <c r="J81" s="350">
        <v>3252</v>
      </c>
      <c r="K81" s="351">
        <f t="shared" si="26"/>
        <v>73.177317731773172</v>
      </c>
      <c r="L81" s="412"/>
      <c r="M81" s="413"/>
      <c r="N81" s="413"/>
      <c r="O81" s="413"/>
      <c r="P81" s="413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</row>
    <row r="82" spans="1:84" s="247" customFormat="1" ht="18.75">
      <c r="A82" s="348"/>
      <c r="B82" s="358" t="s">
        <v>68</v>
      </c>
      <c r="C82" s="349" t="s">
        <v>61</v>
      </c>
      <c r="D82" s="195">
        <f>779+73</f>
        <v>852</v>
      </c>
      <c r="E82" s="195">
        <f>967+46</f>
        <v>1013</v>
      </c>
      <c r="F82" s="195">
        <f>965+45</f>
        <v>1010</v>
      </c>
      <c r="G82" s="264">
        <f t="shared" si="20"/>
        <v>99.703849950641654</v>
      </c>
      <c r="H82" s="268">
        <f>5484+1028</f>
        <v>6512</v>
      </c>
      <c r="I82" s="350">
        <v>6066</v>
      </c>
      <c r="J82" s="350">
        <v>4198</v>
      </c>
      <c r="K82" s="351">
        <f t="shared" si="26"/>
        <v>69.205407187603029</v>
      </c>
      <c r="L82" s="412"/>
      <c r="M82" s="413"/>
      <c r="N82" s="413"/>
      <c r="O82" s="413"/>
      <c r="P82" s="413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BN82" s="407"/>
      <c r="BO82" s="407"/>
      <c r="BP82" s="407"/>
      <c r="BQ82" s="407"/>
      <c r="BR82" s="407"/>
      <c r="BS82" s="407"/>
      <c r="BT82" s="407"/>
      <c r="BU82" s="407"/>
      <c r="BV82" s="407"/>
      <c r="BW82" s="407"/>
      <c r="BX82" s="407"/>
      <c r="BY82" s="407"/>
      <c r="BZ82" s="407"/>
      <c r="CA82" s="407"/>
      <c r="CB82" s="407"/>
      <c r="CC82" s="407"/>
      <c r="CD82" s="407"/>
      <c r="CE82" s="407"/>
      <c r="CF82" s="407"/>
    </row>
    <row r="83" spans="1:84" s="247" customFormat="1" ht="18.75">
      <c r="A83" s="348"/>
      <c r="B83" s="358" t="s">
        <v>69</v>
      </c>
      <c r="C83" s="349" t="s">
        <v>61</v>
      </c>
      <c r="D83" s="195">
        <f>159+10</f>
        <v>169</v>
      </c>
      <c r="E83" s="195">
        <f>182+4</f>
        <v>186</v>
      </c>
      <c r="F83" s="195">
        <f>182+5</f>
        <v>187</v>
      </c>
      <c r="G83" s="264">
        <f t="shared" si="20"/>
        <v>100.53763440860214</v>
      </c>
      <c r="H83" s="268">
        <f>1119+141</f>
        <v>1260</v>
      </c>
      <c r="I83" s="350">
        <f>567+518</f>
        <v>1085</v>
      </c>
      <c r="J83" s="350">
        <v>761</v>
      </c>
      <c r="K83" s="351">
        <f t="shared" si="26"/>
        <v>70.138248847926263</v>
      </c>
      <c r="L83" s="309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</row>
    <row r="84" spans="1:84" s="352" customFormat="1" ht="30.75">
      <c r="A84" s="348" t="s">
        <v>74</v>
      </c>
      <c r="B84" s="193" t="s">
        <v>290</v>
      </c>
      <c r="C84" s="349" t="s">
        <v>61</v>
      </c>
      <c r="D84" s="195">
        <f>D85+D86+D87</f>
        <v>0</v>
      </c>
      <c r="E84" s="195">
        <f>E85+E86+E87</f>
        <v>496</v>
      </c>
      <c r="F84" s="195">
        <f t="shared" ref="F84" si="29">F85+F86+F87</f>
        <v>492</v>
      </c>
      <c r="G84" s="264">
        <f t="shared" si="20"/>
        <v>99.193548387096769</v>
      </c>
      <c r="H84" s="268">
        <f>H85+H86+H87</f>
        <v>0</v>
      </c>
      <c r="I84" s="350">
        <f>I85+I86+I87</f>
        <v>9861</v>
      </c>
      <c r="J84" s="350">
        <f>J85+J86+J87</f>
        <v>8749</v>
      </c>
      <c r="K84" s="351">
        <f t="shared" si="26"/>
        <v>88.723253219754596</v>
      </c>
      <c r="L84" s="298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1"/>
      <c r="AO84" s="411"/>
      <c r="AP84" s="411"/>
      <c r="AQ84" s="411"/>
      <c r="AR84" s="411"/>
      <c r="AS84" s="411"/>
      <c r="AT84" s="411"/>
      <c r="AU84" s="411"/>
      <c r="AV84" s="411"/>
      <c r="AW84" s="411"/>
      <c r="AX84" s="411"/>
      <c r="AY84" s="411"/>
      <c r="AZ84" s="411"/>
      <c r="BA84" s="411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  <c r="BL84" s="411"/>
      <c r="BM84" s="411"/>
      <c r="BN84" s="411"/>
      <c r="BO84" s="411"/>
      <c r="BP84" s="411"/>
      <c r="BQ84" s="411"/>
      <c r="BR84" s="411"/>
      <c r="BS84" s="411"/>
      <c r="BT84" s="411"/>
      <c r="BU84" s="411"/>
      <c r="BV84" s="411"/>
      <c r="BW84" s="411"/>
      <c r="BX84" s="411"/>
      <c r="BY84" s="411"/>
      <c r="BZ84" s="411"/>
      <c r="CA84" s="411"/>
      <c r="CB84" s="411"/>
      <c r="CC84" s="411"/>
      <c r="CD84" s="411"/>
      <c r="CE84" s="411"/>
      <c r="CF84" s="411"/>
    </row>
    <row r="85" spans="1:84" s="247" customFormat="1" ht="18.75">
      <c r="A85" s="348"/>
      <c r="B85" s="358" t="s">
        <v>67</v>
      </c>
      <c r="C85" s="349" t="s">
        <v>61</v>
      </c>
      <c r="D85" s="195">
        <v>0</v>
      </c>
      <c r="E85" s="195">
        <v>496</v>
      </c>
      <c r="F85" s="195">
        <v>492</v>
      </c>
      <c r="G85" s="264">
        <f t="shared" si="20"/>
        <v>99.193548387096769</v>
      </c>
      <c r="H85" s="268">
        <v>0</v>
      </c>
      <c r="I85" s="350">
        <v>9861</v>
      </c>
      <c r="J85" s="350">
        <v>8749</v>
      </c>
      <c r="K85" s="351">
        <f t="shared" si="26"/>
        <v>88.723253219754596</v>
      </c>
      <c r="L85" s="309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</row>
    <row r="86" spans="1:84" s="247" customFormat="1" ht="18.75">
      <c r="A86" s="348"/>
      <c r="B86" s="358" t="s">
        <v>68</v>
      </c>
      <c r="C86" s="349" t="s">
        <v>61</v>
      </c>
      <c r="D86" s="195"/>
      <c r="E86" s="195"/>
      <c r="F86" s="195"/>
      <c r="G86" s="264"/>
      <c r="H86" s="268"/>
      <c r="I86" s="350"/>
      <c r="J86" s="350"/>
      <c r="K86" s="351"/>
      <c r="L86" s="309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</row>
    <row r="87" spans="1:84" s="352" customFormat="1" ht="18.75">
      <c r="A87" s="348"/>
      <c r="B87" s="358" t="s">
        <v>69</v>
      </c>
      <c r="C87" s="349" t="s">
        <v>61</v>
      </c>
      <c r="D87" s="195"/>
      <c r="E87" s="195"/>
      <c r="F87" s="195"/>
      <c r="G87" s="264"/>
      <c r="H87" s="268"/>
      <c r="I87" s="350"/>
      <c r="J87" s="350"/>
      <c r="K87" s="351"/>
      <c r="L87" s="298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411"/>
      <c r="AP87" s="411"/>
      <c r="AQ87" s="411"/>
      <c r="AR87" s="411"/>
      <c r="AS87" s="411"/>
      <c r="AT87" s="411"/>
      <c r="AU87" s="411"/>
      <c r="AV87" s="411"/>
      <c r="AW87" s="411"/>
      <c r="AX87" s="411"/>
      <c r="AY87" s="411"/>
      <c r="AZ87" s="411"/>
      <c r="BA87" s="411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</row>
    <row r="88" spans="1:84" s="352" customFormat="1" ht="18.75">
      <c r="A88" s="356" t="s">
        <v>21</v>
      </c>
      <c r="B88" s="249" t="s">
        <v>31</v>
      </c>
      <c r="C88" s="343" t="s">
        <v>76</v>
      </c>
      <c r="D88" s="344">
        <f>D89</f>
        <v>1320</v>
      </c>
      <c r="E88" s="344">
        <f t="shared" ref="E88:F88" si="30">E89</f>
        <v>921</v>
      </c>
      <c r="F88" s="344">
        <f t="shared" si="30"/>
        <v>921</v>
      </c>
      <c r="G88" s="257">
        <f t="shared" si="20"/>
        <v>100</v>
      </c>
      <c r="H88" s="359">
        <f>H89</f>
        <v>2955</v>
      </c>
      <c r="I88" s="360">
        <f>I89</f>
        <v>2040</v>
      </c>
      <c r="J88" s="360">
        <f>J89</f>
        <v>2040</v>
      </c>
      <c r="K88" s="341">
        <f t="shared" si="26"/>
        <v>100</v>
      </c>
      <c r="L88" s="298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</row>
    <row r="89" spans="1:84" s="352" customFormat="1" ht="18.75">
      <c r="A89" s="348" t="s">
        <v>77</v>
      </c>
      <c r="B89" s="193" t="s">
        <v>142</v>
      </c>
      <c r="C89" s="349" t="s">
        <v>76</v>
      </c>
      <c r="D89" s="195">
        <v>1320</v>
      </c>
      <c r="E89" s="195">
        <v>921</v>
      </c>
      <c r="F89" s="195">
        <f>E89</f>
        <v>921</v>
      </c>
      <c r="G89" s="264">
        <f t="shared" si="20"/>
        <v>100</v>
      </c>
      <c r="H89" s="353">
        <v>2955</v>
      </c>
      <c r="I89" s="355">
        <v>2040</v>
      </c>
      <c r="J89" s="355">
        <v>2040</v>
      </c>
      <c r="K89" s="351">
        <f t="shared" si="26"/>
        <v>100</v>
      </c>
      <c r="L89" s="298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/>
      <c r="BG89" s="411"/>
      <c r="BH89" s="411"/>
      <c r="BI89" s="411"/>
      <c r="BJ89" s="411"/>
      <c r="BK89" s="411"/>
      <c r="BL89" s="411"/>
      <c r="BM89" s="411"/>
      <c r="BN89" s="411"/>
      <c r="BO89" s="411"/>
      <c r="BP89" s="411"/>
      <c r="BQ89" s="411"/>
      <c r="BR89" s="411"/>
      <c r="BS89" s="411"/>
      <c r="BT89" s="411"/>
      <c r="BU89" s="411"/>
      <c r="BV89" s="411"/>
      <c r="BW89" s="411"/>
      <c r="BX89" s="411"/>
      <c r="BY89" s="411"/>
      <c r="BZ89" s="411"/>
      <c r="CA89" s="411"/>
      <c r="CB89" s="411"/>
      <c r="CC89" s="411"/>
      <c r="CD89" s="411"/>
      <c r="CE89" s="411"/>
      <c r="CF89" s="411"/>
    </row>
    <row r="90" spans="1:84" s="352" customFormat="1" ht="18.75">
      <c r="A90" s="356" t="s">
        <v>24</v>
      </c>
      <c r="B90" s="249" t="s">
        <v>78</v>
      </c>
      <c r="C90" s="343" t="s">
        <v>5</v>
      </c>
      <c r="D90" s="344">
        <f>D91</f>
        <v>5283</v>
      </c>
      <c r="E90" s="344">
        <f t="shared" ref="E90:F90" si="31">E91</f>
        <v>5283</v>
      </c>
      <c r="F90" s="344">
        <f t="shared" si="31"/>
        <v>5283</v>
      </c>
      <c r="G90" s="361">
        <f t="shared" si="20"/>
        <v>100</v>
      </c>
      <c r="H90" s="260">
        <f>H91</f>
        <v>9355</v>
      </c>
      <c r="I90" s="340">
        <f>I91</f>
        <v>9310</v>
      </c>
      <c r="J90" s="340">
        <v>9310</v>
      </c>
      <c r="K90" s="362">
        <f t="shared" si="26"/>
        <v>100</v>
      </c>
      <c r="L90" s="298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1"/>
      <c r="AH90" s="411"/>
      <c r="AI90" s="411"/>
      <c r="AJ90" s="411"/>
      <c r="AK90" s="411"/>
      <c r="AL90" s="411"/>
      <c r="AM90" s="411"/>
      <c r="AN90" s="411"/>
      <c r="AO90" s="411"/>
      <c r="AP90" s="411"/>
      <c r="AQ90" s="411"/>
      <c r="AR90" s="411"/>
      <c r="AS90" s="411"/>
      <c r="AT90" s="411"/>
      <c r="AU90" s="411"/>
      <c r="AV90" s="411"/>
      <c r="AW90" s="411"/>
      <c r="AX90" s="411"/>
      <c r="AY90" s="411"/>
      <c r="AZ90" s="411"/>
      <c r="BA90" s="411"/>
      <c r="BB90" s="411"/>
      <c r="BC90" s="411"/>
      <c r="BD90" s="411"/>
      <c r="BE90" s="411"/>
      <c r="BF90" s="411"/>
      <c r="BG90" s="411"/>
      <c r="BH90" s="411"/>
      <c r="BI90" s="411"/>
      <c r="BJ90" s="411"/>
      <c r="BK90" s="411"/>
      <c r="BL90" s="411"/>
      <c r="BM90" s="411"/>
      <c r="BN90" s="411"/>
      <c r="BO90" s="411"/>
      <c r="BP90" s="411"/>
      <c r="BQ90" s="411"/>
      <c r="BR90" s="411"/>
      <c r="BS90" s="411"/>
      <c r="BT90" s="411"/>
      <c r="BU90" s="411"/>
      <c r="BV90" s="411"/>
      <c r="BW90" s="411"/>
      <c r="BX90" s="411"/>
      <c r="BY90" s="411"/>
      <c r="BZ90" s="411"/>
      <c r="CA90" s="411"/>
      <c r="CB90" s="411"/>
      <c r="CC90" s="411"/>
      <c r="CD90" s="411"/>
      <c r="CE90" s="411"/>
      <c r="CF90" s="411"/>
    </row>
    <row r="91" spans="1:84" s="352" customFormat="1" ht="18.75">
      <c r="A91" s="348" t="s">
        <v>214</v>
      </c>
      <c r="B91" s="193" t="s">
        <v>79</v>
      </c>
      <c r="C91" s="349" t="s">
        <v>5</v>
      </c>
      <c r="D91" s="195">
        <v>5283</v>
      </c>
      <c r="E91" s="195">
        <v>5283</v>
      </c>
      <c r="F91" s="195">
        <f>E91</f>
        <v>5283</v>
      </c>
      <c r="G91" s="264">
        <f t="shared" si="20"/>
        <v>100</v>
      </c>
      <c r="H91" s="353">
        <v>9355</v>
      </c>
      <c r="I91" s="350">
        <v>9310</v>
      </c>
      <c r="J91" s="350">
        <v>9310</v>
      </c>
      <c r="K91" s="351">
        <f t="shared" si="26"/>
        <v>100</v>
      </c>
      <c r="L91" s="298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</row>
    <row r="92" spans="1:84" s="352" customFormat="1" ht="45.75">
      <c r="A92" s="348" t="s">
        <v>240</v>
      </c>
      <c r="B92" s="193" t="s">
        <v>291</v>
      </c>
      <c r="C92" s="349" t="s">
        <v>20</v>
      </c>
      <c r="D92" s="195"/>
      <c r="E92" s="195"/>
      <c r="F92" s="195"/>
      <c r="G92" s="264"/>
      <c r="H92" s="353"/>
      <c r="I92" s="350">
        <v>432</v>
      </c>
      <c r="J92" s="350">
        <v>432</v>
      </c>
      <c r="K92" s="351">
        <f t="shared" si="26"/>
        <v>100</v>
      </c>
      <c r="L92" s="298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L92" s="411"/>
      <c r="AM92" s="411"/>
      <c r="AN92" s="411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11"/>
      <c r="BA92" s="411"/>
      <c r="BB92" s="411"/>
      <c r="BC92" s="411"/>
      <c r="BD92" s="411"/>
      <c r="BE92" s="411"/>
      <c r="BF92" s="411"/>
      <c r="BG92" s="411"/>
      <c r="BH92" s="411"/>
      <c r="BI92" s="411"/>
      <c r="BJ92" s="411"/>
      <c r="BK92" s="411"/>
      <c r="BL92" s="411"/>
      <c r="BM92" s="411"/>
      <c r="BN92" s="411"/>
      <c r="BO92" s="411"/>
      <c r="BP92" s="411"/>
      <c r="BQ92" s="411"/>
      <c r="BR92" s="411"/>
      <c r="BS92" s="411"/>
      <c r="BT92" s="411"/>
      <c r="BU92" s="411"/>
      <c r="BV92" s="411"/>
      <c r="BW92" s="411"/>
      <c r="BX92" s="411"/>
      <c r="BY92" s="411"/>
      <c r="BZ92" s="411"/>
      <c r="CA92" s="411"/>
      <c r="CB92" s="411"/>
      <c r="CC92" s="411"/>
      <c r="CD92" s="411"/>
      <c r="CE92" s="411"/>
      <c r="CF92" s="411"/>
    </row>
    <row r="93" spans="1:84" s="352" customFormat="1" ht="18.75" hidden="1">
      <c r="A93" s="348"/>
      <c r="B93" s="193"/>
      <c r="C93" s="349"/>
      <c r="D93" s="195"/>
      <c r="E93" s="195"/>
      <c r="F93" s="195"/>
      <c r="G93" s="264"/>
      <c r="H93" s="353"/>
      <c r="I93" s="350"/>
      <c r="J93" s="350"/>
      <c r="K93" s="351"/>
      <c r="L93" s="298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1"/>
      <c r="AX93" s="411"/>
      <c r="AY93" s="411"/>
      <c r="AZ93" s="411"/>
      <c r="BA93" s="411"/>
      <c r="BB93" s="411"/>
      <c r="BC93" s="411"/>
      <c r="BD93" s="411"/>
      <c r="BE93" s="411"/>
      <c r="BF93" s="411"/>
      <c r="BG93" s="411"/>
      <c r="BH93" s="411"/>
      <c r="BI93" s="411"/>
      <c r="BJ93" s="411"/>
      <c r="BK93" s="411"/>
      <c r="BL93" s="411"/>
      <c r="BM93" s="411"/>
      <c r="BN93" s="411"/>
      <c r="BO93" s="411"/>
      <c r="BP93" s="411"/>
      <c r="BQ93" s="411"/>
      <c r="BR93" s="411"/>
      <c r="BS93" s="411"/>
      <c r="BT93" s="411"/>
      <c r="BU93" s="411"/>
      <c r="BV93" s="411"/>
      <c r="BW93" s="411"/>
      <c r="BX93" s="411"/>
      <c r="BY93" s="411"/>
      <c r="BZ93" s="411"/>
      <c r="CA93" s="411"/>
      <c r="CB93" s="411"/>
      <c r="CC93" s="411"/>
      <c r="CD93" s="411"/>
      <c r="CE93" s="411"/>
      <c r="CF93" s="411"/>
    </row>
    <row r="94" spans="1:84" s="368" customFormat="1" ht="39" customHeight="1">
      <c r="A94" s="363"/>
      <c r="B94" s="363" t="s">
        <v>292</v>
      </c>
      <c r="C94" s="364"/>
      <c r="D94" s="365">
        <f>D95+D99</f>
        <v>5344</v>
      </c>
      <c r="E94" s="365">
        <f>E95+E99</f>
        <v>5322</v>
      </c>
      <c r="F94" s="365">
        <f>F95+F99</f>
        <v>5322</v>
      </c>
      <c r="G94" s="347">
        <f>F94/E94*100</f>
        <v>100</v>
      </c>
      <c r="H94" s="340">
        <f>H95+H99</f>
        <v>667125</v>
      </c>
      <c r="I94" s="340">
        <f t="shared" ref="I94:J94" si="32">I95+I99</f>
        <v>669920</v>
      </c>
      <c r="J94" s="340">
        <f t="shared" si="32"/>
        <v>669888</v>
      </c>
      <c r="K94" s="366">
        <f>J94/I94*100</f>
        <v>99.99522331024599</v>
      </c>
      <c r="L94" s="414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5"/>
      <c r="AU94" s="415"/>
      <c r="AV94" s="415"/>
      <c r="AW94" s="415"/>
      <c r="AX94" s="415"/>
      <c r="AY94" s="415"/>
      <c r="AZ94" s="415"/>
      <c r="BA94" s="415"/>
      <c r="BB94" s="415"/>
      <c r="BC94" s="415"/>
      <c r="BD94" s="415"/>
      <c r="BE94" s="415"/>
      <c r="BF94" s="415"/>
      <c r="BG94" s="415"/>
      <c r="BH94" s="415"/>
      <c r="BI94" s="415"/>
      <c r="BJ94" s="415"/>
      <c r="BK94" s="415"/>
      <c r="BL94" s="415"/>
      <c r="BM94" s="415"/>
      <c r="BN94" s="415"/>
      <c r="BO94" s="415"/>
      <c r="BP94" s="415"/>
      <c r="BQ94" s="415"/>
      <c r="BR94" s="415"/>
      <c r="BS94" s="415"/>
      <c r="BT94" s="415"/>
      <c r="BU94" s="415"/>
      <c r="BV94" s="415"/>
      <c r="BW94" s="415"/>
      <c r="BX94" s="415"/>
      <c r="BY94" s="415"/>
      <c r="BZ94" s="415"/>
      <c r="CA94" s="415"/>
      <c r="CB94" s="415"/>
      <c r="CC94" s="415"/>
      <c r="CD94" s="415"/>
      <c r="CE94" s="415"/>
      <c r="CF94" s="415"/>
    </row>
    <row r="95" spans="1:84" s="368" customFormat="1" ht="18.75">
      <c r="A95" s="369" t="s">
        <v>4</v>
      </c>
      <c r="B95" s="370" t="s">
        <v>89</v>
      </c>
      <c r="C95" s="371" t="s">
        <v>90</v>
      </c>
      <c r="D95" s="365">
        <f>SUM(D96:D98)</f>
        <v>2672</v>
      </c>
      <c r="E95" s="365">
        <f>SUM(E96:E98)</f>
        <v>2661</v>
      </c>
      <c r="F95" s="365">
        <f>SUM(F96:F98)</f>
        <v>2661</v>
      </c>
      <c r="G95" s="347">
        <f>F95/E95*100</f>
        <v>100</v>
      </c>
      <c r="H95" s="340">
        <f>SUM(H96:H98)</f>
        <v>5240</v>
      </c>
      <c r="I95" s="340">
        <f>SUM(I96:I98)</f>
        <v>4729</v>
      </c>
      <c r="J95" s="340">
        <f>SUM(J96:J98)</f>
        <v>4729</v>
      </c>
      <c r="K95" s="366">
        <f>J95/I95*100</f>
        <v>100</v>
      </c>
      <c r="L95" s="414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  <c r="CC95" s="415"/>
      <c r="CD95" s="415"/>
      <c r="CE95" s="415"/>
      <c r="CF95" s="415"/>
    </row>
    <row r="96" spans="1:84" s="368" customFormat="1" ht="18.75">
      <c r="A96" s="372" t="s">
        <v>26</v>
      </c>
      <c r="B96" s="373" t="s">
        <v>293</v>
      </c>
      <c r="C96" s="374" t="s">
        <v>90</v>
      </c>
      <c r="D96" s="375">
        <v>2630</v>
      </c>
      <c r="E96" s="375">
        <v>2613</v>
      </c>
      <c r="F96" s="375">
        <v>2613</v>
      </c>
      <c r="G96" s="376">
        <f t="shared" ref="G96:G99" si="33">F96/E96*100</f>
        <v>100</v>
      </c>
      <c r="H96" s="350">
        <v>3928</v>
      </c>
      <c r="I96" s="350">
        <v>3790</v>
      </c>
      <c r="J96" s="350">
        <f>3790</f>
        <v>3790</v>
      </c>
      <c r="K96" s="377">
        <f t="shared" ref="K96:K99" si="34">J96/I96*100</f>
        <v>100</v>
      </c>
      <c r="L96" s="414"/>
      <c r="M96" s="415"/>
      <c r="N96" s="415"/>
      <c r="O96" s="415"/>
      <c r="P96" s="415"/>
      <c r="Q96" s="415"/>
      <c r="R96" s="415"/>
      <c r="S96" s="415"/>
      <c r="T96" s="415"/>
      <c r="U96" s="415"/>
      <c r="V96" s="415"/>
      <c r="W96" s="415"/>
      <c r="X96" s="415"/>
      <c r="Y96" s="415"/>
      <c r="Z96" s="415"/>
      <c r="AA96" s="415"/>
      <c r="AB96" s="415"/>
      <c r="AC96" s="415"/>
      <c r="AD96" s="415"/>
      <c r="AE96" s="415"/>
      <c r="AF96" s="415"/>
      <c r="AG96" s="415"/>
      <c r="AH96" s="415"/>
      <c r="AI96" s="415"/>
      <c r="AJ96" s="415"/>
      <c r="AK96" s="415"/>
      <c r="AL96" s="415"/>
      <c r="AM96" s="415"/>
      <c r="AN96" s="415"/>
      <c r="AO96" s="415"/>
      <c r="AP96" s="415"/>
      <c r="AQ96" s="415"/>
      <c r="AR96" s="415"/>
      <c r="AS96" s="415"/>
      <c r="AT96" s="415"/>
      <c r="AU96" s="415"/>
      <c r="AV96" s="415"/>
      <c r="AW96" s="415"/>
      <c r="AX96" s="415"/>
      <c r="AY96" s="415"/>
      <c r="AZ96" s="415"/>
      <c r="BA96" s="415"/>
      <c r="BB96" s="415"/>
      <c r="BC96" s="415"/>
      <c r="BD96" s="415"/>
      <c r="BE96" s="415"/>
      <c r="BF96" s="415"/>
      <c r="BG96" s="415"/>
      <c r="BH96" s="415"/>
      <c r="BI96" s="415"/>
      <c r="BJ96" s="415"/>
      <c r="BK96" s="415"/>
      <c r="BL96" s="415"/>
      <c r="BM96" s="415"/>
      <c r="BN96" s="415"/>
      <c r="BO96" s="415"/>
      <c r="BP96" s="415"/>
      <c r="BQ96" s="415"/>
      <c r="BR96" s="415"/>
      <c r="BS96" s="415"/>
      <c r="BT96" s="415"/>
      <c r="BU96" s="415"/>
      <c r="BV96" s="415"/>
      <c r="BW96" s="415"/>
      <c r="BX96" s="415"/>
      <c r="BY96" s="415"/>
      <c r="BZ96" s="415"/>
      <c r="CA96" s="415"/>
      <c r="CB96" s="415"/>
      <c r="CC96" s="415"/>
      <c r="CD96" s="415"/>
      <c r="CE96" s="415"/>
      <c r="CF96" s="415"/>
    </row>
    <row r="97" spans="1:84" s="368" customFormat="1" ht="18.75">
      <c r="A97" s="372" t="s">
        <v>27</v>
      </c>
      <c r="B97" s="373" t="s">
        <v>92</v>
      </c>
      <c r="C97" s="374" t="s">
        <v>90</v>
      </c>
      <c r="D97" s="375">
        <v>24</v>
      </c>
      <c r="E97" s="375">
        <v>27</v>
      </c>
      <c r="F97" s="375">
        <v>27</v>
      </c>
      <c r="G97" s="376">
        <f t="shared" si="33"/>
        <v>100</v>
      </c>
      <c r="H97" s="350">
        <v>750</v>
      </c>
      <c r="I97" s="350">
        <v>514</v>
      </c>
      <c r="J97" s="350">
        <f>514</f>
        <v>514</v>
      </c>
      <c r="K97" s="377">
        <f t="shared" si="34"/>
        <v>100</v>
      </c>
      <c r="L97" s="414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</row>
    <row r="98" spans="1:84" s="367" customFormat="1" ht="15">
      <c r="A98" s="372" t="s">
        <v>28</v>
      </c>
      <c r="B98" s="373" t="s">
        <v>94</v>
      </c>
      <c r="C98" s="374" t="s">
        <v>90</v>
      </c>
      <c r="D98" s="378">
        <v>18</v>
      </c>
      <c r="E98" s="375">
        <v>21</v>
      </c>
      <c r="F98" s="375">
        <v>21</v>
      </c>
      <c r="G98" s="376">
        <f t="shared" si="33"/>
        <v>100</v>
      </c>
      <c r="H98" s="350">
        <v>562</v>
      </c>
      <c r="I98" s="350">
        <v>425</v>
      </c>
      <c r="J98" s="350">
        <f>425</f>
        <v>425</v>
      </c>
      <c r="K98" s="377">
        <f t="shared" si="34"/>
        <v>100</v>
      </c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414"/>
      <c r="AJ98" s="414"/>
      <c r="AK98" s="414"/>
      <c r="AL98" s="414"/>
      <c r="AM98" s="414"/>
      <c r="AN98" s="414"/>
      <c r="AO98" s="414"/>
      <c r="AP98" s="414"/>
      <c r="AQ98" s="414"/>
      <c r="AR98" s="414"/>
      <c r="AS98" s="414"/>
      <c r="AT98" s="414"/>
      <c r="AU98" s="414"/>
      <c r="AV98" s="414"/>
      <c r="AW98" s="414"/>
      <c r="AX98" s="414"/>
      <c r="AY98" s="414"/>
      <c r="AZ98" s="414"/>
      <c r="BA98" s="414"/>
      <c r="BB98" s="414"/>
      <c r="BC98" s="414"/>
      <c r="BD98" s="414"/>
      <c r="BE98" s="414"/>
      <c r="BF98" s="414"/>
      <c r="BG98" s="414"/>
      <c r="BH98" s="414"/>
      <c r="BI98" s="414"/>
      <c r="BJ98" s="414"/>
      <c r="BK98" s="414"/>
      <c r="BL98" s="414"/>
      <c r="BM98" s="414"/>
      <c r="BN98" s="414"/>
      <c r="BO98" s="414"/>
      <c r="BP98" s="414"/>
      <c r="BQ98" s="414"/>
      <c r="BR98" s="414"/>
      <c r="BS98" s="414"/>
      <c r="BT98" s="414"/>
      <c r="BU98" s="414"/>
      <c r="BV98" s="414"/>
      <c r="BW98" s="414"/>
      <c r="BX98" s="414"/>
      <c r="BY98" s="414"/>
      <c r="BZ98" s="414"/>
      <c r="CA98" s="414"/>
      <c r="CB98" s="414"/>
      <c r="CC98" s="414"/>
      <c r="CD98" s="414"/>
      <c r="CE98" s="414"/>
      <c r="CF98" s="414"/>
    </row>
    <row r="99" spans="1:84" s="368" customFormat="1" ht="18.75">
      <c r="A99" s="369" t="s">
        <v>95</v>
      </c>
      <c r="B99" s="370" t="s">
        <v>96</v>
      </c>
      <c r="C99" s="371" t="s">
        <v>61</v>
      </c>
      <c r="D99" s="365">
        <f>SUM(D100:D103)</f>
        <v>2672</v>
      </c>
      <c r="E99" s="365">
        <f>SUM(E100:E103)</f>
        <v>2661</v>
      </c>
      <c r="F99" s="365">
        <f>SUM(F100:F103)</f>
        <v>2661</v>
      </c>
      <c r="G99" s="347">
        <f t="shared" si="33"/>
        <v>100</v>
      </c>
      <c r="H99" s="340">
        <f>SUM(H100:H103)</f>
        <v>661885</v>
      </c>
      <c r="I99" s="340">
        <f>SUM(I100:I103)</f>
        <v>665191</v>
      </c>
      <c r="J99" s="340">
        <f>SUM(J100:J103)</f>
        <v>665159</v>
      </c>
      <c r="K99" s="366">
        <f t="shared" si="34"/>
        <v>99.995189351629833</v>
      </c>
      <c r="L99" s="414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5"/>
      <c r="AZ99" s="415"/>
      <c r="BA99" s="415"/>
      <c r="BB99" s="415"/>
      <c r="BC99" s="415"/>
      <c r="BD99" s="415"/>
      <c r="BE99" s="415"/>
      <c r="BF99" s="415"/>
      <c r="BG99" s="415"/>
      <c r="BH99" s="415"/>
      <c r="BI99" s="415"/>
      <c r="BJ99" s="415"/>
      <c r="BK99" s="415"/>
      <c r="BL99" s="415"/>
      <c r="BM99" s="415"/>
      <c r="BN99" s="415"/>
      <c r="BO99" s="415"/>
      <c r="BP99" s="415"/>
      <c r="BQ99" s="415"/>
      <c r="BR99" s="415"/>
      <c r="BS99" s="415"/>
      <c r="BT99" s="415"/>
      <c r="BU99" s="415"/>
      <c r="BV99" s="415"/>
      <c r="BW99" s="415"/>
      <c r="BX99" s="415"/>
      <c r="BY99" s="415"/>
      <c r="BZ99" s="415"/>
      <c r="CA99" s="415"/>
      <c r="CB99" s="415"/>
      <c r="CC99" s="415"/>
      <c r="CD99" s="415"/>
      <c r="CE99" s="415"/>
      <c r="CF99" s="415"/>
    </row>
    <row r="100" spans="1:84" s="368" customFormat="1" ht="18.75">
      <c r="A100" s="372" t="s">
        <v>97</v>
      </c>
      <c r="B100" s="373" t="s">
        <v>98</v>
      </c>
      <c r="C100" s="374" t="s">
        <v>61</v>
      </c>
      <c r="D100" s="375">
        <v>449</v>
      </c>
      <c r="E100" s="375">
        <v>427</v>
      </c>
      <c r="F100" s="375">
        <v>427</v>
      </c>
      <c r="G100" s="376">
        <f>F100/E100*100</f>
        <v>100</v>
      </c>
      <c r="H100" s="350">
        <v>109063</v>
      </c>
      <c r="I100" s="350">
        <v>106817</v>
      </c>
      <c r="J100" s="350">
        <v>106811</v>
      </c>
      <c r="K100" s="377">
        <f>J100/I100*100</f>
        <v>99.994382916576953</v>
      </c>
      <c r="L100" s="414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415"/>
      <c r="AD100" s="415"/>
      <c r="AE100" s="415"/>
      <c r="AF100" s="415"/>
      <c r="AG100" s="415"/>
      <c r="AH100" s="415"/>
      <c r="AI100" s="415"/>
      <c r="AJ100" s="415"/>
      <c r="AK100" s="415"/>
      <c r="AL100" s="415"/>
      <c r="AM100" s="415"/>
      <c r="AN100" s="415"/>
      <c r="AO100" s="415"/>
      <c r="AP100" s="415"/>
      <c r="AQ100" s="415"/>
      <c r="AR100" s="415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5"/>
      <c r="BP100" s="415"/>
      <c r="BQ100" s="415"/>
      <c r="BR100" s="415"/>
      <c r="BS100" s="415"/>
      <c r="BT100" s="415"/>
      <c r="BU100" s="415"/>
      <c r="BV100" s="415"/>
      <c r="BW100" s="415"/>
      <c r="BX100" s="415"/>
      <c r="BY100" s="415"/>
      <c r="BZ100" s="415"/>
      <c r="CA100" s="415"/>
      <c r="CB100" s="415"/>
      <c r="CC100" s="415"/>
      <c r="CD100" s="415"/>
      <c r="CE100" s="415"/>
      <c r="CF100" s="415"/>
    </row>
    <row r="101" spans="1:84" s="368" customFormat="1" ht="18.75">
      <c r="A101" s="372" t="s">
        <v>99</v>
      </c>
      <c r="B101" s="373" t="s">
        <v>100</v>
      </c>
      <c r="C101" s="374" t="s">
        <v>61</v>
      </c>
      <c r="D101" s="375">
        <v>1968</v>
      </c>
      <c r="E101" s="375">
        <v>1975</v>
      </c>
      <c r="F101" s="375">
        <v>1974</v>
      </c>
      <c r="G101" s="376">
        <f>F101/E101*100</f>
        <v>99.949367088607602</v>
      </c>
      <c r="H101" s="350">
        <v>415758</v>
      </c>
      <c r="I101" s="350">
        <v>422191</v>
      </c>
      <c r="J101" s="350">
        <v>422166</v>
      </c>
      <c r="K101" s="377">
        <f>J101/I101*100</f>
        <v>99.994078509489782</v>
      </c>
      <c r="L101" s="414"/>
      <c r="M101" s="415"/>
      <c r="N101" s="415"/>
      <c r="O101" s="415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415"/>
      <c r="AD101" s="415"/>
      <c r="AE101" s="415"/>
      <c r="AF101" s="415"/>
      <c r="AG101" s="415"/>
      <c r="AH101" s="415"/>
      <c r="AI101" s="415"/>
      <c r="AJ101" s="415"/>
      <c r="AK101" s="415"/>
      <c r="AL101" s="415"/>
      <c r="AM101" s="415"/>
      <c r="AN101" s="415"/>
      <c r="AO101" s="415"/>
      <c r="AP101" s="415"/>
      <c r="AQ101" s="415"/>
      <c r="AR101" s="415"/>
      <c r="AS101" s="415"/>
      <c r="AT101" s="415"/>
      <c r="AU101" s="415"/>
      <c r="AV101" s="415"/>
      <c r="AW101" s="415"/>
      <c r="AX101" s="415"/>
      <c r="AY101" s="415"/>
      <c r="AZ101" s="415"/>
      <c r="BA101" s="415"/>
      <c r="BB101" s="415"/>
      <c r="BC101" s="415"/>
      <c r="BD101" s="415"/>
      <c r="BE101" s="415"/>
      <c r="BF101" s="415"/>
      <c r="BG101" s="415"/>
      <c r="BH101" s="415"/>
      <c r="BI101" s="415"/>
      <c r="BJ101" s="415"/>
      <c r="BK101" s="415"/>
      <c r="BL101" s="415"/>
      <c r="BM101" s="415"/>
      <c r="BN101" s="415"/>
      <c r="BO101" s="415"/>
      <c r="BP101" s="415"/>
      <c r="BQ101" s="415"/>
      <c r="BR101" s="415"/>
      <c r="BS101" s="415"/>
      <c r="BT101" s="415"/>
      <c r="BU101" s="415"/>
      <c r="BV101" s="415"/>
      <c r="BW101" s="415"/>
      <c r="BX101" s="415"/>
      <c r="BY101" s="415"/>
      <c r="BZ101" s="415"/>
      <c r="CA101" s="415"/>
      <c r="CB101" s="415"/>
      <c r="CC101" s="415"/>
      <c r="CD101" s="415"/>
      <c r="CE101" s="415"/>
      <c r="CF101" s="415"/>
    </row>
    <row r="102" spans="1:84" s="368" customFormat="1" ht="30.75">
      <c r="A102" s="372" t="s">
        <v>223</v>
      </c>
      <c r="B102" s="373" t="s">
        <v>202</v>
      </c>
      <c r="C102" s="374" t="s">
        <v>61</v>
      </c>
      <c r="D102" s="375"/>
      <c r="E102" s="375"/>
      <c r="F102" s="375"/>
      <c r="G102" s="376"/>
      <c r="H102" s="350"/>
      <c r="I102" s="350"/>
      <c r="J102" s="350"/>
      <c r="K102" s="377"/>
      <c r="L102" s="414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415"/>
      <c r="AP102" s="415"/>
      <c r="AQ102" s="415"/>
      <c r="AR102" s="415"/>
      <c r="AS102" s="415"/>
      <c r="AT102" s="415"/>
      <c r="AU102" s="415"/>
      <c r="AV102" s="415"/>
      <c r="AW102" s="415"/>
      <c r="AX102" s="415"/>
      <c r="AY102" s="415"/>
      <c r="AZ102" s="415"/>
      <c r="BA102" s="415"/>
      <c r="BB102" s="415"/>
      <c r="BC102" s="415"/>
      <c r="BD102" s="415"/>
      <c r="BE102" s="415"/>
      <c r="BF102" s="415"/>
      <c r="BG102" s="415"/>
      <c r="BH102" s="415"/>
      <c r="BI102" s="415"/>
      <c r="BJ102" s="415"/>
      <c r="BK102" s="415"/>
      <c r="BL102" s="415"/>
      <c r="BM102" s="415"/>
      <c r="BN102" s="415"/>
      <c r="BO102" s="415"/>
      <c r="BP102" s="415"/>
      <c r="BQ102" s="415"/>
      <c r="BR102" s="415"/>
      <c r="BS102" s="415"/>
      <c r="BT102" s="415"/>
      <c r="BU102" s="415"/>
      <c r="BV102" s="415"/>
      <c r="BW102" s="415"/>
      <c r="BX102" s="415"/>
      <c r="BY102" s="415"/>
      <c r="BZ102" s="415"/>
      <c r="CA102" s="415"/>
      <c r="CB102" s="415"/>
      <c r="CC102" s="415"/>
      <c r="CD102" s="415"/>
      <c r="CE102" s="415"/>
      <c r="CF102" s="415"/>
    </row>
    <row r="103" spans="1:84" s="368" customFormat="1" ht="30.75">
      <c r="A103" s="372" t="s">
        <v>223</v>
      </c>
      <c r="B103" s="373" t="s">
        <v>102</v>
      </c>
      <c r="C103" s="374" t="s">
        <v>61</v>
      </c>
      <c r="D103" s="375">
        <v>255</v>
      </c>
      <c r="E103" s="375">
        <v>259</v>
      </c>
      <c r="F103" s="375">
        <v>260</v>
      </c>
      <c r="G103" s="376">
        <f t="shared" ref="G103" si="35">F103/E103*100</f>
        <v>100.38610038610038</v>
      </c>
      <c r="H103" s="350">
        <v>137064</v>
      </c>
      <c r="I103" s="350">
        <v>136183</v>
      </c>
      <c r="J103" s="350">
        <v>136182</v>
      </c>
      <c r="K103" s="377">
        <f t="shared" ref="K103" si="36">J103/I103*100</f>
        <v>99.999265693955934</v>
      </c>
      <c r="L103" s="414"/>
      <c r="M103" s="415"/>
      <c r="N103" s="415"/>
      <c r="O103" s="415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415"/>
      <c r="AF103" s="415"/>
      <c r="AG103" s="415"/>
      <c r="AH103" s="415"/>
      <c r="AI103" s="415"/>
      <c r="AJ103" s="415"/>
      <c r="AK103" s="415"/>
      <c r="AL103" s="415"/>
      <c r="AM103" s="415"/>
      <c r="AN103" s="415"/>
      <c r="AO103" s="415"/>
      <c r="AP103" s="415"/>
      <c r="AQ103" s="415"/>
      <c r="AR103" s="415"/>
      <c r="AS103" s="415"/>
      <c r="AT103" s="415"/>
      <c r="AU103" s="415"/>
      <c r="AV103" s="415"/>
      <c r="AW103" s="415"/>
      <c r="AX103" s="415"/>
      <c r="AY103" s="415"/>
      <c r="AZ103" s="415"/>
      <c r="BA103" s="415"/>
      <c r="BB103" s="415"/>
      <c r="BC103" s="415"/>
      <c r="BD103" s="415"/>
      <c r="BE103" s="415"/>
      <c r="BF103" s="415"/>
      <c r="BG103" s="415"/>
      <c r="BH103" s="415"/>
      <c r="BI103" s="415"/>
      <c r="BJ103" s="415"/>
      <c r="BK103" s="415"/>
      <c r="BL103" s="415"/>
      <c r="BM103" s="415"/>
      <c r="BN103" s="415"/>
      <c r="BO103" s="415"/>
      <c r="BP103" s="415"/>
      <c r="BQ103" s="415"/>
      <c r="BR103" s="415"/>
      <c r="BS103" s="415"/>
      <c r="BT103" s="415"/>
      <c r="BU103" s="415"/>
      <c r="BV103" s="415"/>
      <c r="BW103" s="415"/>
      <c r="BX103" s="415"/>
      <c r="BY103" s="415"/>
      <c r="BZ103" s="415"/>
      <c r="CA103" s="415"/>
      <c r="CB103" s="415"/>
      <c r="CC103" s="415"/>
      <c r="CD103" s="415"/>
      <c r="CE103" s="415"/>
      <c r="CF103" s="415"/>
    </row>
    <row r="104" spans="1:84" s="368" customFormat="1" ht="18.75">
      <c r="A104" s="379"/>
      <c r="B104" s="370" t="s">
        <v>294</v>
      </c>
      <c r="C104" s="364"/>
      <c r="D104" s="380">
        <f>D105+D106+D107+D108</f>
        <v>424</v>
      </c>
      <c r="E104" s="380">
        <f t="shared" ref="E104:F104" si="37">E105+E106+E107+E108</f>
        <v>424</v>
      </c>
      <c r="F104" s="380">
        <f t="shared" si="37"/>
        <v>424</v>
      </c>
      <c r="G104" s="347">
        <f>F104/E104*100</f>
        <v>100</v>
      </c>
      <c r="H104" s="340">
        <f t="shared" ref="H104:J104" si="38">H105+H106+H107+H108</f>
        <v>34484</v>
      </c>
      <c r="I104" s="340">
        <f t="shared" si="38"/>
        <v>33621</v>
      </c>
      <c r="J104" s="340">
        <f t="shared" si="38"/>
        <v>33621</v>
      </c>
      <c r="K104" s="347">
        <f>J104/I104*100</f>
        <v>100</v>
      </c>
      <c r="L104" s="414"/>
      <c r="M104" s="415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5"/>
      <c r="AU104" s="415"/>
      <c r="AV104" s="415"/>
      <c r="AW104" s="415"/>
      <c r="AX104" s="415"/>
      <c r="AY104" s="415"/>
      <c r="AZ104" s="415"/>
      <c r="BA104" s="415"/>
      <c r="BB104" s="415"/>
      <c r="BC104" s="415"/>
      <c r="BD104" s="415"/>
      <c r="BE104" s="415"/>
      <c r="BF104" s="415"/>
      <c r="BG104" s="415"/>
      <c r="BH104" s="415"/>
      <c r="BI104" s="415"/>
      <c r="BJ104" s="415"/>
      <c r="BK104" s="415"/>
      <c r="BL104" s="415"/>
      <c r="BM104" s="415"/>
      <c r="BN104" s="415"/>
      <c r="BO104" s="415"/>
      <c r="BP104" s="415"/>
      <c r="BQ104" s="415"/>
      <c r="BR104" s="415"/>
      <c r="BS104" s="415"/>
      <c r="BT104" s="415"/>
      <c r="BU104" s="415"/>
      <c r="BV104" s="415"/>
      <c r="BW104" s="415"/>
      <c r="BX104" s="415"/>
      <c r="BY104" s="415"/>
      <c r="BZ104" s="415"/>
      <c r="CA104" s="415"/>
      <c r="CB104" s="415"/>
      <c r="CC104" s="415"/>
      <c r="CD104" s="415"/>
      <c r="CE104" s="415"/>
      <c r="CF104" s="415"/>
    </row>
    <row r="105" spans="1:84" s="382" customFormat="1" ht="28.5">
      <c r="A105" s="379" t="s">
        <v>4</v>
      </c>
      <c r="B105" s="370" t="s">
        <v>113</v>
      </c>
      <c r="C105" s="381" t="s">
        <v>295</v>
      </c>
      <c r="D105" s="380">
        <v>96</v>
      </c>
      <c r="E105" s="380">
        <v>96</v>
      </c>
      <c r="F105" s="380">
        <v>96</v>
      </c>
      <c r="G105" s="347">
        <f t="shared" ref="G105:G108" si="39">F105/E105*100</f>
        <v>100</v>
      </c>
      <c r="H105" s="340">
        <v>12593</v>
      </c>
      <c r="I105" s="340">
        <v>12380</v>
      </c>
      <c r="J105" s="340">
        <v>12380</v>
      </c>
      <c r="K105" s="347">
        <f t="shared" ref="K105:K108" si="40">J105/I105*100</f>
        <v>100</v>
      </c>
      <c r="L105" s="416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17"/>
      <c r="AM105" s="417"/>
      <c r="AN105" s="417"/>
      <c r="AO105" s="417"/>
      <c r="AP105" s="417"/>
      <c r="AQ105" s="417"/>
      <c r="AR105" s="417"/>
      <c r="AS105" s="417"/>
      <c r="AT105" s="417"/>
      <c r="AU105" s="417"/>
      <c r="AV105" s="417"/>
      <c r="AW105" s="417"/>
      <c r="AX105" s="417"/>
      <c r="AY105" s="417"/>
      <c r="AZ105" s="417"/>
      <c r="BA105" s="417"/>
      <c r="BB105" s="417"/>
      <c r="BC105" s="417"/>
      <c r="BD105" s="417"/>
      <c r="BE105" s="417"/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/>
      <c r="BX105" s="417"/>
      <c r="BY105" s="417"/>
      <c r="BZ105" s="417"/>
      <c r="CA105" s="417"/>
      <c r="CB105" s="417"/>
      <c r="CC105" s="417"/>
      <c r="CD105" s="417"/>
      <c r="CE105" s="417"/>
      <c r="CF105" s="417"/>
    </row>
    <row r="106" spans="1:84" s="382" customFormat="1" ht="58.5">
      <c r="A106" s="379" t="s">
        <v>6</v>
      </c>
      <c r="B106" s="383" t="s">
        <v>115</v>
      </c>
      <c r="C106" s="384" t="s">
        <v>9</v>
      </c>
      <c r="D106" s="380">
        <v>324</v>
      </c>
      <c r="E106" s="380">
        <v>324</v>
      </c>
      <c r="F106" s="380">
        <v>324</v>
      </c>
      <c r="G106" s="347">
        <f t="shared" si="39"/>
        <v>100</v>
      </c>
      <c r="H106" s="340">
        <v>20025</v>
      </c>
      <c r="I106" s="340">
        <v>19383</v>
      </c>
      <c r="J106" s="340">
        <v>19383</v>
      </c>
      <c r="K106" s="347">
        <f t="shared" si="40"/>
        <v>100</v>
      </c>
      <c r="L106" s="416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7"/>
      <c r="AM106" s="417"/>
      <c r="AN106" s="417"/>
      <c r="AO106" s="417"/>
      <c r="AP106" s="417"/>
      <c r="AQ106" s="417"/>
      <c r="AR106" s="417"/>
      <c r="AS106" s="417"/>
      <c r="AT106" s="417"/>
      <c r="AU106" s="417"/>
      <c r="AV106" s="417"/>
      <c r="AW106" s="417"/>
      <c r="AX106" s="417"/>
      <c r="AY106" s="417"/>
      <c r="AZ106" s="417"/>
      <c r="BA106" s="417"/>
      <c r="BB106" s="417"/>
      <c r="BC106" s="417"/>
      <c r="BD106" s="417"/>
      <c r="BE106" s="417"/>
      <c r="BF106" s="417"/>
      <c r="BG106" s="417"/>
      <c r="BH106" s="417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7"/>
      <c r="CB106" s="417"/>
      <c r="CC106" s="417"/>
      <c r="CD106" s="417"/>
      <c r="CE106" s="417"/>
      <c r="CF106" s="417"/>
    </row>
    <row r="107" spans="1:84" s="382" customFormat="1" ht="44.25">
      <c r="A107" s="379" t="s">
        <v>8</v>
      </c>
      <c r="B107" s="383" t="s">
        <v>184</v>
      </c>
      <c r="C107" s="381" t="s">
        <v>117</v>
      </c>
      <c r="D107" s="380">
        <v>2</v>
      </c>
      <c r="E107" s="380">
        <v>2</v>
      </c>
      <c r="F107" s="380">
        <v>2</v>
      </c>
      <c r="G107" s="347">
        <f t="shared" si="39"/>
        <v>100</v>
      </c>
      <c r="H107" s="340">
        <v>1062</v>
      </c>
      <c r="I107" s="340">
        <v>1058</v>
      </c>
      <c r="J107" s="340">
        <v>1058</v>
      </c>
      <c r="K107" s="347">
        <f t="shared" si="40"/>
        <v>100</v>
      </c>
      <c r="L107" s="416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7"/>
      <c r="AJ107" s="417"/>
      <c r="AK107" s="417"/>
      <c r="AL107" s="417"/>
      <c r="AM107" s="417"/>
      <c r="AN107" s="417"/>
      <c r="AO107" s="417"/>
      <c r="AP107" s="417"/>
      <c r="AQ107" s="417"/>
      <c r="AR107" s="417"/>
      <c r="AS107" s="417"/>
      <c r="AT107" s="417"/>
      <c r="AU107" s="417"/>
      <c r="AV107" s="417"/>
      <c r="AW107" s="417"/>
      <c r="AX107" s="417"/>
      <c r="AY107" s="417"/>
      <c r="AZ107" s="417"/>
      <c r="BA107" s="417"/>
      <c r="BB107" s="417"/>
      <c r="BC107" s="417"/>
      <c r="BD107" s="417"/>
      <c r="BE107" s="417"/>
      <c r="BF107" s="417"/>
      <c r="BG107" s="417"/>
      <c r="BH107" s="417"/>
      <c r="BI107" s="417"/>
      <c r="BJ107" s="417"/>
      <c r="BK107" s="417"/>
      <c r="BL107" s="417"/>
      <c r="BM107" s="417"/>
      <c r="BN107" s="417"/>
      <c r="BO107" s="417"/>
      <c r="BP107" s="417"/>
      <c r="BQ107" s="417"/>
      <c r="BR107" s="417"/>
      <c r="BS107" s="417"/>
      <c r="BT107" s="417"/>
      <c r="BU107" s="417"/>
      <c r="BV107" s="417"/>
      <c r="BW107" s="417"/>
      <c r="BX107" s="417"/>
      <c r="BY107" s="417"/>
      <c r="BZ107" s="417"/>
      <c r="CA107" s="417"/>
      <c r="CB107" s="417"/>
      <c r="CC107" s="417"/>
      <c r="CD107" s="417"/>
      <c r="CE107" s="417"/>
      <c r="CF107" s="417"/>
    </row>
    <row r="108" spans="1:84" s="382" customFormat="1" ht="58.5">
      <c r="A108" s="379" t="s">
        <v>18</v>
      </c>
      <c r="B108" s="383" t="s">
        <v>118</v>
      </c>
      <c r="C108" s="381" t="s">
        <v>117</v>
      </c>
      <c r="D108" s="380">
        <v>2</v>
      </c>
      <c r="E108" s="380">
        <v>2</v>
      </c>
      <c r="F108" s="380">
        <v>2</v>
      </c>
      <c r="G108" s="347">
        <f t="shared" si="39"/>
        <v>100</v>
      </c>
      <c r="H108" s="340">
        <v>804</v>
      </c>
      <c r="I108" s="340">
        <v>800</v>
      </c>
      <c r="J108" s="340">
        <v>800</v>
      </c>
      <c r="K108" s="347">
        <f t="shared" si="40"/>
        <v>100</v>
      </c>
      <c r="L108" s="416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417"/>
      <c r="AX108" s="417"/>
      <c r="AY108" s="417"/>
      <c r="AZ108" s="417"/>
      <c r="BA108" s="417"/>
      <c r="BB108" s="417"/>
      <c r="BC108" s="417"/>
      <c r="BD108" s="417"/>
      <c r="BE108" s="417"/>
      <c r="BF108" s="417"/>
      <c r="BG108" s="417"/>
      <c r="BH108" s="417"/>
      <c r="BI108" s="417"/>
      <c r="BJ108" s="417"/>
      <c r="BK108" s="417"/>
      <c r="BL108" s="417"/>
      <c r="BM108" s="417"/>
      <c r="BN108" s="417"/>
      <c r="BO108" s="417"/>
      <c r="BP108" s="417"/>
      <c r="BQ108" s="417"/>
      <c r="BR108" s="417"/>
      <c r="BS108" s="417"/>
      <c r="BT108" s="417"/>
      <c r="BU108" s="417"/>
      <c r="BV108" s="417"/>
      <c r="BW108" s="417"/>
      <c r="BX108" s="417"/>
      <c r="BY108" s="417"/>
      <c r="BZ108" s="417"/>
      <c r="CA108" s="417"/>
      <c r="CB108" s="417"/>
      <c r="CC108" s="417"/>
      <c r="CD108" s="417"/>
      <c r="CE108" s="417"/>
      <c r="CF108" s="417"/>
    </row>
    <row r="109" spans="1:84" s="368" customFormat="1" ht="18.75">
      <c r="A109" s="379"/>
      <c r="B109" s="385" t="s">
        <v>296</v>
      </c>
      <c r="C109" s="364"/>
      <c r="D109" s="380">
        <f>D110+D111+D112+D113+D114+D115</f>
        <v>655</v>
      </c>
      <c r="E109" s="380">
        <f>E110+E111+E112+E113+E114+E115</f>
        <v>397</v>
      </c>
      <c r="F109" s="380">
        <f>F110+F111+F112+F113+F114+F115</f>
        <v>415</v>
      </c>
      <c r="G109" s="347">
        <f>F109/E109*100</f>
        <v>104.53400503778339</v>
      </c>
      <c r="H109" s="340">
        <f>SUM(H110:H115)</f>
        <v>29410</v>
      </c>
      <c r="I109" s="340">
        <f t="shared" ref="I109:J109" si="41">SUM(I110:I115)</f>
        <v>19932</v>
      </c>
      <c r="J109" s="340">
        <f t="shared" si="41"/>
        <v>19932</v>
      </c>
      <c r="K109" s="347">
        <f>J109/I109*100</f>
        <v>100</v>
      </c>
      <c r="L109" s="414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5"/>
      <c r="AX109" s="415"/>
      <c r="AY109" s="415"/>
      <c r="AZ109" s="415"/>
      <c r="BA109" s="415"/>
      <c r="BB109" s="415"/>
      <c r="BC109" s="415"/>
      <c r="BD109" s="415"/>
      <c r="BE109" s="415"/>
      <c r="BF109" s="415"/>
      <c r="BG109" s="415"/>
      <c r="BH109" s="415"/>
      <c r="BI109" s="415"/>
      <c r="BJ109" s="415"/>
      <c r="BK109" s="415"/>
      <c r="BL109" s="415"/>
      <c r="BM109" s="415"/>
      <c r="BN109" s="415"/>
      <c r="BO109" s="415"/>
      <c r="BP109" s="415"/>
      <c r="BQ109" s="415"/>
      <c r="BR109" s="415"/>
      <c r="BS109" s="415"/>
      <c r="BT109" s="415"/>
      <c r="BU109" s="415"/>
      <c r="BV109" s="415"/>
      <c r="BW109" s="415"/>
      <c r="BX109" s="415"/>
      <c r="BY109" s="415"/>
      <c r="BZ109" s="415"/>
      <c r="CA109" s="415"/>
      <c r="CB109" s="415"/>
      <c r="CC109" s="415"/>
      <c r="CD109" s="415"/>
      <c r="CE109" s="415"/>
      <c r="CF109" s="415"/>
    </row>
    <row r="110" spans="1:84" s="368" customFormat="1" ht="30">
      <c r="A110" s="379" t="s">
        <v>4</v>
      </c>
      <c r="B110" s="370" t="s">
        <v>297</v>
      </c>
      <c r="C110" s="384" t="s">
        <v>9</v>
      </c>
      <c r="D110" s="380">
        <v>258</v>
      </c>
      <c r="E110" s="380">
        <v>0</v>
      </c>
      <c r="F110" s="380">
        <v>0</v>
      </c>
      <c r="G110" s="347"/>
      <c r="H110" s="340">
        <v>11519</v>
      </c>
      <c r="I110" s="340">
        <v>92</v>
      </c>
      <c r="J110" s="340">
        <v>92</v>
      </c>
      <c r="K110" s="347">
        <f>J110/I110*100</f>
        <v>100</v>
      </c>
      <c r="L110" s="414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  <c r="AO110" s="415"/>
      <c r="AP110" s="415"/>
      <c r="AQ110" s="415"/>
      <c r="AR110" s="415"/>
      <c r="AS110" s="415"/>
      <c r="AT110" s="415"/>
      <c r="AU110" s="415"/>
      <c r="AV110" s="415"/>
      <c r="AW110" s="415"/>
      <c r="AX110" s="415"/>
      <c r="AY110" s="415"/>
      <c r="AZ110" s="415"/>
      <c r="BA110" s="415"/>
      <c r="BB110" s="415"/>
      <c r="BC110" s="415"/>
      <c r="BD110" s="415"/>
      <c r="BE110" s="415"/>
      <c r="BF110" s="415"/>
      <c r="BG110" s="415"/>
      <c r="BH110" s="415"/>
      <c r="BI110" s="415"/>
      <c r="BJ110" s="415"/>
      <c r="BK110" s="415"/>
      <c r="BL110" s="415"/>
      <c r="BM110" s="415"/>
      <c r="BN110" s="415"/>
      <c r="BO110" s="415"/>
      <c r="BP110" s="415"/>
      <c r="BQ110" s="415"/>
      <c r="BR110" s="415"/>
      <c r="BS110" s="415"/>
      <c r="BT110" s="415"/>
      <c r="BU110" s="415"/>
      <c r="BV110" s="415"/>
      <c r="BW110" s="415"/>
      <c r="BX110" s="415"/>
      <c r="BY110" s="415"/>
      <c r="BZ110" s="415"/>
      <c r="CA110" s="415"/>
      <c r="CB110" s="415"/>
      <c r="CC110" s="415"/>
      <c r="CD110" s="415"/>
      <c r="CE110" s="415"/>
      <c r="CF110" s="415"/>
    </row>
    <row r="111" spans="1:84" s="368" customFormat="1" ht="30">
      <c r="A111" s="379" t="s">
        <v>6</v>
      </c>
      <c r="B111" s="370" t="s">
        <v>120</v>
      </c>
      <c r="C111" s="381" t="s">
        <v>117</v>
      </c>
      <c r="D111" s="380">
        <v>21</v>
      </c>
      <c r="E111" s="380">
        <v>21</v>
      </c>
      <c r="F111" s="380">
        <v>21</v>
      </c>
      <c r="G111" s="347">
        <f>F111/E111*100</f>
        <v>100</v>
      </c>
      <c r="H111" s="340">
        <v>2406</v>
      </c>
      <c r="I111" s="340">
        <v>2846</v>
      </c>
      <c r="J111" s="340">
        <v>2846</v>
      </c>
      <c r="K111" s="347">
        <f>J111/I111*100</f>
        <v>100</v>
      </c>
      <c r="L111" s="414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15"/>
      <c r="AA111" s="415"/>
      <c r="AB111" s="415"/>
      <c r="AC111" s="415"/>
      <c r="AD111" s="415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  <c r="AO111" s="415"/>
      <c r="AP111" s="415"/>
      <c r="AQ111" s="415"/>
      <c r="AR111" s="415"/>
      <c r="AS111" s="415"/>
      <c r="AT111" s="415"/>
      <c r="AU111" s="415"/>
      <c r="AV111" s="415"/>
      <c r="AW111" s="415"/>
      <c r="AX111" s="415"/>
      <c r="AY111" s="415"/>
      <c r="AZ111" s="415"/>
      <c r="BA111" s="415"/>
      <c r="BB111" s="415"/>
      <c r="BC111" s="415"/>
      <c r="BD111" s="415"/>
      <c r="BE111" s="415"/>
      <c r="BF111" s="415"/>
      <c r="BG111" s="415"/>
      <c r="BH111" s="415"/>
      <c r="BI111" s="415"/>
      <c r="BJ111" s="415"/>
      <c r="BK111" s="415"/>
      <c r="BL111" s="415"/>
      <c r="BM111" s="415"/>
      <c r="BN111" s="415"/>
      <c r="BO111" s="415"/>
      <c r="BP111" s="415"/>
      <c r="BQ111" s="415"/>
      <c r="BR111" s="415"/>
      <c r="BS111" s="415"/>
      <c r="BT111" s="415"/>
      <c r="BU111" s="415"/>
      <c r="BV111" s="415"/>
      <c r="BW111" s="415"/>
      <c r="BX111" s="415"/>
      <c r="BY111" s="415"/>
      <c r="BZ111" s="415"/>
      <c r="CA111" s="415"/>
      <c r="CB111" s="415"/>
      <c r="CC111" s="415"/>
      <c r="CD111" s="415"/>
      <c r="CE111" s="415"/>
      <c r="CF111" s="415"/>
    </row>
    <row r="112" spans="1:84" s="368" customFormat="1" ht="18.75">
      <c r="A112" s="379" t="s">
        <v>8</v>
      </c>
      <c r="B112" s="386" t="s">
        <v>121</v>
      </c>
      <c r="C112" s="381" t="s">
        <v>298</v>
      </c>
      <c r="D112" s="380">
        <v>9</v>
      </c>
      <c r="E112" s="380">
        <v>9</v>
      </c>
      <c r="F112" s="380">
        <v>9</v>
      </c>
      <c r="G112" s="347">
        <f t="shared" ref="G112" si="42">F112/E112*100</f>
        <v>100</v>
      </c>
      <c r="H112" s="340">
        <v>3478</v>
      </c>
      <c r="I112" s="340">
        <v>3744</v>
      </c>
      <c r="J112" s="340">
        <v>3744</v>
      </c>
      <c r="K112" s="347">
        <f t="shared" ref="K112" si="43">J112/I112*100</f>
        <v>100</v>
      </c>
      <c r="L112" s="414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5"/>
      <c r="AH112" s="415"/>
      <c r="AI112" s="415"/>
      <c r="AJ112" s="415"/>
      <c r="AK112" s="415"/>
      <c r="AL112" s="415"/>
      <c r="AM112" s="415"/>
      <c r="AN112" s="415"/>
      <c r="AO112" s="415"/>
      <c r="AP112" s="415"/>
      <c r="AQ112" s="415"/>
      <c r="AR112" s="415"/>
      <c r="AS112" s="415"/>
      <c r="AT112" s="415"/>
      <c r="AU112" s="415"/>
      <c r="AV112" s="415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5"/>
      <c r="CC112" s="415"/>
      <c r="CD112" s="415"/>
      <c r="CE112" s="415"/>
      <c r="CF112" s="415"/>
    </row>
    <row r="113" spans="1:84" s="368" customFormat="1" ht="18.75">
      <c r="A113" s="379" t="s">
        <v>18</v>
      </c>
      <c r="B113" s="386" t="s">
        <v>299</v>
      </c>
      <c r="C113" s="381" t="s">
        <v>300</v>
      </c>
      <c r="D113" s="380">
        <v>80</v>
      </c>
      <c r="E113" s="380">
        <v>80</v>
      </c>
      <c r="F113" s="380">
        <v>98</v>
      </c>
      <c r="G113" s="347">
        <f>F113/E113*100</f>
        <v>122.50000000000001</v>
      </c>
      <c r="H113" s="340">
        <v>2551</v>
      </c>
      <c r="I113" s="340">
        <v>2962</v>
      </c>
      <c r="J113" s="340">
        <v>2962</v>
      </c>
      <c r="K113" s="347">
        <f>J113/I113*100</f>
        <v>100</v>
      </c>
      <c r="L113" s="414"/>
      <c r="M113" s="415"/>
      <c r="N113" s="415"/>
      <c r="O113" s="415"/>
      <c r="P113" s="415"/>
      <c r="Q113" s="415"/>
      <c r="R113" s="415"/>
      <c r="S113" s="415"/>
      <c r="T113" s="415"/>
      <c r="U113" s="415"/>
      <c r="V113" s="415"/>
      <c r="W113" s="415"/>
      <c r="X113" s="415"/>
      <c r="Y113" s="415"/>
      <c r="Z113" s="415"/>
      <c r="AA113" s="415"/>
      <c r="AB113" s="415"/>
      <c r="AC113" s="415"/>
      <c r="AD113" s="415"/>
      <c r="AE113" s="415"/>
      <c r="AF113" s="415"/>
      <c r="AG113" s="415"/>
      <c r="AH113" s="415"/>
      <c r="AI113" s="415"/>
      <c r="AJ113" s="415"/>
      <c r="AK113" s="415"/>
      <c r="AL113" s="415"/>
      <c r="AM113" s="415"/>
      <c r="AN113" s="415"/>
      <c r="AO113" s="415"/>
      <c r="AP113" s="415"/>
      <c r="AQ113" s="415"/>
      <c r="AR113" s="415"/>
      <c r="AS113" s="415"/>
      <c r="AT113" s="415"/>
      <c r="AU113" s="415"/>
      <c r="AV113" s="415"/>
      <c r="AW113" s="415"/>
      <c r="AX113" s="415"/>
      <c r="AY113" s="415"/>
      <c r="AZ113" s="415"/>
      <c r="BA113" s="415"/>
      <c r="BB113" s="415"/>
      <c r="BC113" s="415"/>
      <c r="BD113" s="415"/>
      <c r="BE113" s="415"/>
      <c r="BF113" s="415"/>
      <c r="BG113" s="415"/>
      <c r="BH113" s="415"/>
      <c r="BI113" s="415"/>
      <c r="BJ113" s="415"/>
      <c r="BK113" s="415"/>
      <c r="BL113" s="415"/>
      <c r="BM113" s="415"/>
      <c r="BN113" s="415"/>
      <c r="BO113" s="415"/>
      <c r="BP113" s="415"/>
      <c r="BQ113" s="415"/>
      <c r="BR113" s="415"/>
      <c r="BS113" s="415"/>
      <c r="BT113" s="415"/>
      <c r="BU113" s="415"/>
      <c r="BV113" s="415"/>
      <c r="BW113" s="415"/>
      <c r="BX113" s="415"/>
      <c r="BY113" s="415"/>
      <c r="BZ113" s="415"/>
      <c r="CA113" s="415"/>
      <c r="CB113" s="415"/>
      <c r="CC113" s="415"/>
      <c r="CD113" s="415"/>
      <c r="CE113" s="415"/>
      <c r="CF113" s="415"/>
    </row>
    <row r="114" spans="1:84" s="368" customFormat="1" ht="42.75">
      <c r="A114" s="379" t="s">
        <v>21</v>
      </c>
      <c r="B114" s="386" t="s">
        <v>122</v>
      </c>
      <c r="C114" s="381" t="s">
        <v>300</v>
      </c>
      <c r="D114" s="380">
        <v>200</v>
      </c>
      <c r="E114" s="380">
        <v>200</v>
      </c>
      <c r="F114" s="380">
        <v>200</v>
      </c>
      <c r="G114" s="347">
        <f>F114/E114*100</f>
        <v>100</v>
      </c>
      <c r="H114" s="340">
        <v>3853</v>
      </c>
      <c r="I114" s="340">
        <v>4280</v>
      </c>
      <c r="J114" s="340">
        <v>4280</v>
      </c>
      <c r="K114" s="347">
        <f>J114/I114*100</f>
        <v>100</v>
      </c>
      <c r="L114" s="414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  <c r="AO114" s="415"/>
      <c r="AP114" s="415"/>
      <c r="AQ114" s="415"/>
      <c r="AR114" s="415"/>
      <c r="AS114" s="415"/>
      <c r="AT114" s="415"/>
      <c r="AU114" s="415"/>
      <c r="AV114" s="415"/>
      <c r="AW114" s="415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</row>
    <row r="115" spans="1:84" s="368" customFormat="1" ht="42.75">
      <c r="A115" s="379" t="s">
        <v>24</v>
      </c>
      <c r="B115" s="386" t="s">
        <v>123</v>
      </c>
      <c r="C115" s="381" t="s">
        <v>301</v>
      </c>
      <c r="D115" s="380">
        <v>87</v>
      </c>
      <c r="E115" s="380">
        <v>87</v>
      </c>
      <c r="F115" s="380">
        <v>87</v>
      </c>
      <c r="G115" s="347">
        <f>F115/E115*100</f>
        <v>100</v>
      </c>
      <c r="H115" s="340">
        <v>5603</v>
      </c>
      <c r="I115" s="340">
        <v>6008</v>
      </c>
      <c r="J115" s="340">
        <v>6008</v>
      </c>
      <c r="K115" s="347">
        <f>J115/I115*100</f>
        <v>100</v>
      </c>
      <c r="L115" s="414"/>
      <c r="M115" s="415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15"/>
      <c r="AO115" s="415"/>
      <c r="AP115" s="415"/>
      <c r="AQ115" s="415"/>
      <c r="AR115" s="415"/>
      <c r="AS115" s="415"/>
      <c r="AT115" s="415"/>
      <c r="AU115" s="415"/>
      <c r="AV115" s="415"/>
      <c r="AW115" s="415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  <c r="BL115" s="415"/>
      <c r="BM115" s="415"/>
      <c r="BN115" s="415"/>
      <c r="BO115" s="415"/>
      <c r="BP115" s="415"/>
      <c r="BQ115" s="415"/>
      <c r="BR115" s="415"/>
      <c r="BS115" s="415"/>
      <c r="BT115" s="415"/>
      <c r="BU115" s="415"/>
      <c r="BV115" s="415"/>
      <c r="BW115" s="415"/>
      <c r="BX115" s="415"/>
      <c r="BY115" s="415"/>
      <c r="BZ115" s="415"/>
      <c r="CA115" s="415"/>
      <c r="CB115" s="415"/>
      <c r="CC115" s="415"/>
      <c r="CD115" s="415"/>
      <c r="CE115" s="415"/>
      <c r="CF115" s="415"/>
    </row>
    <row r="116" spans="1:84" s="368" customFormat="1" ht="18.75">
      <c r="A116" s="379"/>
      <c r="B116" s="386" t="s">
        <v>302</v>
      </c>
      <c r="C116" s="381"/>
      <c r="D116" s="380">
        <f>D117</f>
        <v>250</v>
      </c>
      <c r="E116" s="380">
        <f t="shared" ref="E116:F116" si="44">E117</f>
        <v>359</v>
      </c>
      <c r="F116" s="380">
        <f t="shared" si="44"/>
        <v>359</v>
      </c>
      <c r="G116" s="347">
        <f>F116/E116*100</f>
        <v>100</v>
      </c>
      <c r="H116" s="340">
        <f>H117</f>
        <v>659</v>
      </c>
      <c r="I116" s="340">
        <f t="shared" ref="I116:J116" si="45">I117</f>
        <v>1496</v>
      </c>
      <c r="J116" s="340">
        <f t="shared" si="45"/>
        <v>1496</v>
      </c>
      <c r="K116" s="347">
        <f>J116/I116*100</f>
        <v>100</v>
      </c>
      <c r="L116" s="414"/>
      <c r="M116" s="415"/>
      <c r="N116" s="415"/>
      <c r="O116" s="415"/>
      <c r="P116" s="415"/>
      <c r="Q116" s="415"/>
      <c r="R116" s="415"/>
      <c r="S116" s="415"/>
      <c r="T116" s="415"/>
      <c r="U116" s="415"/>
      <c r="V116" s="415"/>
      <c r="W116" s="415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15"/>
      <c r="AO116" s="415"/>
      <c r="AP116" s="415"/>
      <c r="AQ116" s="415"/>
      <c r="AR116" s="415"/>
      <c r="AS116" s="415"/>
      <c r="AT116" s="415"/>
      <c r="AU116" s="415"/>
      <c r="AV116" s="415"/>
      <c r="AW116" s="415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  <c r="BL116" s="415"/>
      <c r="BM116" s="415"/>
      <c r="BN116" s="415"/>
      <c r="BO116" s="415"/>
      <c r="BP116" s="415"/>
      <c r="BQ116" s="415"/>
      <c r="BR116" s="415"/>
      <c r="BS116" s="415"/>
      <c r="BT116" s="415"/>
      <c r="BU116" s="415"/>
      <c r="BV116" s="415"/>
      <c r="BW116" s="415"/>
      <c r="BX116" s="415"/>
      <c r="BY116" s="415"/>
      <c r="BZ116" s="415"/>
      <c r="CA116" s="415"/>
      <c r="CB116" s="415"/>
      <c r="CC116" s="415"/>
      <c r="CD116" s="415"/>
      <c r="CE116" s="415"/>
      <c r="CF116" s="415"/>
    </row>
    <row r="117" spans="1:84" s="382" customFormat="1" ht="18.75">
      <c r="A117" s="379" t="s">
        <v>4</v>
      </c>
      <c r="B117" s="422" t="s">
        <v>303</v>
      </c>
      <c r="C117" s="384" t="s">
        <v>9</v>
      </c>
      <c r="D117" s="387">
        <f>130+120</f>
        <v>250</v>
      </c>
      <c r="E117" s="387">
        <f>149+45+165</f>
        <v>359</v>
      </c>
      <c r="F117" s="387">
        <f>149+45+165</f>
        <v>359</v>
      </c>
      <c r="G117" s="257">
        <f>F117/E117*100</f>
        <v>100</v>
      </c>
      <c r="H117" s="260">
        <v>659</v>
      </c>
      <c r="I117" s="260">
        <v>1496</v>
      </c>
      <c r="J117" s="260">
        <v>1496</v>
      </c>
      <c r="K117" s="257">
        <f>J117/I117*100</f>
        <v>100</v>
      </c>
      <c r="L117" s="416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417"/>
      <c r="AX117" s="417"/>
      <c r="AY117" s="417"/>
      <c r="AZ117" s="417"/>
      <c r="BA117" s="417"/>
      <c r="BB117" s="417"/>
      <c r="BC117" s="417"/>
      <c r="BD117" s="417"/>
      <c r="BE117" s="417"/>
      <c r="BF117" s="417"/>
      <c r="BG117" s="417"/>
      <c r="BH117" s="417"/>
      <c r="BI117" s="417"/>
      <c r="BJ117" s="417"/>
      <c r="BK117" s="417"/>
      <c r="BL117" s="417"/>
      <c r="BM117" s="417"/>
      <c r="BN117" s="417"/>
      <c r="BO117" s="417"/>
      <c r="BP117" s="417"/>
      <c r="BQ117" s="417"/>
      <c r="BR117" s="417"/>
      <c r="BS117" s="417"/>
      <c r="BT117" s="417"/>
      <c r="BU117" s="417"/>
      <c r="BV117" s="417"/>
      <c r="BW117" s="417"/>
      <c r="BX117" s="417"/>
      <c r="BY117" s="417"/>
      <c r="BZ117" s="417"/>
      <c r="CA117" s="417"/>
      <c r="CB117" s="417"/>
      <c r="CC117" s="417"/>
      <c r="CD117" s="417"/>
      <c r="CE117" s="417"/>
      <c r="CF117" s="417"/>
    </row>
    <row r="118" spans="1:84" s="298" customFormat="1" ht="25.5">
      <c r="A118" s="292"/>
      <c r="B118" s="312" t="s">
        <v>262</v>
      </c>
      <c r="C118" s="157"/>
      <c r="D118" s="294"/>
      <c r="E118" s="311"/>
      <c r="F118" s="311"/>
      <c r="G118" s="295"/>
      <c r="H118" s="296">
        <f>ROUND(11202.4+51373.8,0)</f>
        <v>62576</v>
      </c>
      <c r="I118" s="296">
        <f>ROUND(1.4+2261.2+4.8,0)</f>
        <v>2267</v>
      </c>
      <c r="J118" s="296"/>
      <c r="K118" s="300"/>
    </row>
    <row r="119" spans="1:84" s="298" customFormat="1" ht="15.75">
      <c r="A119" s="292"/>
      <c r="B119" s="388" t="s">
        <v>263</v>
      </c>
      <c r="C119" s="157"/>
      <c r="D119" s="294"/>
      <c r="E119" s="311"/>
      <c r="F119" s="311"/>
      <c r="G119" s="295"/>
      <c r="H119" s="296"/>
      <c r="I119" s="296"/>
      <c r="J119" s="296">
        <f>ROUND(28.6+4.7,0)</f>
        <v>33</v>
      </c>
      <c r="K119" s="300"/>
    </row>
    <row r="120" spans="1:84" s="395" customFormat="1">
      <c r="A120" s="389"/>
      <c r="B120" s="390" t="s">
        <v>304</v>
      </c>
      <c r="C120" s="391"/>
      <c r="D120" s="392">
        <f>ROUND(D7+D24+D39+D42+D45,0)</f>
        <v>561715</v>
      </c>
      <c r="E120" s="392">
        <f t="shared" ref="E120:F120" si="46">ROUND(E7+E24+E39+E42+E45,0)</f>
        <v>810612</v>
      </c>
      <c r="F120" s="392">
        <f t="shared" si="46"/>
        <v>831515</v>
      </c>
      <c r="G120" s="393">
        <f>F120/E120*100</f>
        <v>102.57866895629475</v>
      </c>
      <c r="H120" s="394">
        <f>ROUND(H7+H24+H39+H42+H45,0)</f>
        <v>1996253</v>
      </c>
      <c r="I120" s="394">
        <f t="shared" ref="I120:J120" si="47">ROUND(I7+I24+I39+I42+I45,0)</f>
        <v>1875942</v>
      </c>
      <c r="J120" s="394">
        <f t="shared" si="47"/>
        <v>1855324</v>
      </c>
      <c r="K120" s="393">
        <f>J120/I120*100</f>
        <v>98.900925508357943</v>
      </c>
      <c r="L120" s="309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</row>
    <row r="121" spans="1:84">
      <c r="A121" s="396"/>
      <c r="B121" s="397"/>
      <c r="E121" s="309"/>
      <c r="F121" s="309"/>
      <c r="G121" s="398"/>
      <c r="H121" s="309"/>
      <c r="I121" s="309"/>
      <c r="J121" s="309"/>
      <c r="K121" s="309"/>
      <c r="L121" s="418"/>
    </row>
    <row r="122" spans="1:84">
      <c r="D122" s="401"/>
      <c r="E122" s="402"/>
      <c r="F122" s="402"/>
      <c r="H122" s="403"/>
      <c r="I122" s="403"/>
      <c r="J122" s="403"/>
    </row>
    <row r="123" spans="1:84">
      <c r="H123" s="403"/>
      <c r="I123" s="403"/>
      <c r="J123" s="403"/>
    </row>
    <row r="124" spans="1:84">
      <c r="D124" s="404"/>
      <c r="E124" s="405"/>
      <c r="F124" s="405"/>
      <c r="H124" s="405"/>
      <c r="I124" s="405"/>
      <c r="J124" s="405"/>
    </row>
  </sheetData>
  <mergeCells count="5">
    <mergeCell ref="A1:K2"/>
    <mergeCell ref="A4:A5"/>
    <mergeCell ref="B4:B5"/>
    <mergeCell ref="C4:G4"/>
    <mergeCell ref="H4:K4"/>
  </mergeCells>
  <pageMargins left="0.11811023622047245" right="0.11811023622047245" top="0.15748031496062992" bottom="0.15748031496062992" header="0.31496062992125984" footer="0.31496062992125984"/>
  <pageSetup paperSize="9" scale="56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CF143"/>
  <sheetViews>
    <sheetView topLeftCell="A37" zoomScale="75" zoomScaleNormal="75" workbookViewId="0">
      <selection activeCell="F68" sqref="F68"/>
    </sheetView>
  </sheetViews>
  <sheetFormatPr defaultColWidth="8" defaultRowHeight="16.5"/>
  <cols>
    <col min="1" max="1" width="6" style="400" customWidth="1"/>
    <col min="2" max="2" width="99.140625" style="399" customWidth="1"/>
    <col min="3" max="3" width="33.42578125" style="461" customWidth="1"/>
    <col min="4" max="4" width="18.5703125" style="233" customWidth="1"/>
    <col min="5" max="5" width="15.7109375" style="234" customWidth="1"/>
    <col min="6" max="6" width="16" style="234" customWidth="1"/>
    <col min="7" max="7" width="13.42578125" style="235" customWidth="1"/>
    <col min="8" max="8" width="17.42578125" style="234" customWidth="1"/>
    <col min="9" max="9" width="16.85546875" style="234" customWidth="1"/>
    <col min="10" max="10" width="17.140625" style="234" customWidth="1"/>
    <col min="11" max="11" width="13" style="234" customWidth="1"/>
    <col min="12" max="12" width="17.42578125" style="419" customWidth="1"/>
    <col min="13" max="13" width="11.42578125" style="419" bestFit="1" customWidth="1"/>
    <col min="14" max="14" width="14" style="419" bestFit="1" customWidth="1"/>
    <col min="15" max="15" width="15.5703125" style="419" customWidth="1"/>
    <col min="16" max="84" width="8" style="419"/>
    <col min="85" max="16384" width="8" style="399"/>
  </cols>
  <sheetData>
    <row r="1" spans="1:84" s="230" customFormat="1">
      <c r="A1" s="837" t="s">
        <v>317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</row>
    <row r="2" spans="1:84" s="230" customFormat="1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</row>
    <row r="3" spans="1:84" s="230" customFormat="1">
      <c r="A3" s="231"/>
      <c r="C3" s="453"/>
      <c r="D3" s="233"/>
      <c r="E3" s="234"/>
      <c r="F3" s="234"/>
      <c r="G3" s="235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</row>
    <row r="4" spans="1:84" s="232" customFormat="1" ht="15">
      <c r="A4" s="838" t="s">
        <v>0</v>
      </c>
      <c r="B4" s="840" t="s">
        <v>1</v>
      </c>
      <c r="C4" s="841" t="s">
        <v>244</v>
      </c>
      <c r="D4" s="841"/>
      <c r="E4" s="841"/>
      <c r="F4" s="841"/>
      <c r="G4" s="841"/>
      <c r="H4" s="842" t="s">
        <v>245</v>
      </c>
      <c r="I4" s="842"/>
      <c r="J4" s="842"/>
      <c r="K4" s="842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</row>
    <row r="5" spans="1:84" s="232" customFormat="1" ht="75">
      <c r="A5" s="839"/>
      <c r="B5" s="840"/>
      <c r="C5" s="454" t="s">
        <v>2</v>
      </c>
      <c r="D5" s="237" t="s">
        <v>316</v>
      </c>
      <c r="E5" s="236" t="s">
        <v>247</v>
      </c>
      <c r="F5" s="238" t="s">
        <v>318</v>
      </c>
      <c r="G5" s="239" t="s">
        <v>249</v>
      </c>
      <c r="H5" s="236" t="s">
        <v>316</v>
      </c>
      <c r="I5" s="236" t="s">
        <v>247</v>
      </c>
      <c r="J5" s="238" t="s">
        <v>318</v>
      </c>
      <c r="K5" s="239" t="s">
        <v>249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</row>
    <row r="6" spans="1:84" s="232" customFormat="1" ht="15">
      <c r="A6" s="240">
        <v>1</v>
      </c>
      <c r="B6" s="240">
        <v>2</v>
      </c>
      <c r="C6" s="455">
        <v>3</v>
      </c>
      <c r="D6" s="241">
        <v>4</v>
      </c>
      <c r="E6" s="241">
        <v>5</v>
      </c>
      <c r="F6" s="240">
        <v>6</v>
      </c>
      <c r="G6" s="241">
        <v>7</v>
      </c>
      <c r="H6" s="241">
        <v>8</v>
      </c>
      <c r="I6" s="240">
        <v>9</v>
      </c>
      <c r="J6" s="240">
        <v>10</v>
      </c>
      <c r="K6" s="240">
        <v>11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</row>
    <row r="7" spans="1:84" s="247" customFormat="1" ht="18.75">
      <c r="A7" s="242" t="s">
        <v>250</v>
      </c>
      <c r="B7" s="243" t="s">
        <v>251</v>
      </c>
      <c r="C7" s="456">
        <f>C8+C17</f>
        <v>0</v>
      </c>
      <c r="D7" s="245">
        <f>D8+D17</f>
        <v>215939</v>
      </c>
      <c r="E7" s="245">
        <f>E8+E17</f>
        <v>213033</v>
      </c>
      <c r="F7" s="245">
        <f>F8+F17</f>
        <v>215291.5</v>
      </c>
      <c r="G7" s="246">
        <f t="shared" ref="G7" si="0">G8</f>
        <v>100</v>
      </c>
      <c r="H7" s="245">
        <f>H8+H17</f>
        <v>236352</v>
      </c>
      <c r="I7" s="245">
        <f>I8+I17</f>
        <v>238912</v>
      </c>
      <c r="J7" s="245">
        <f>J8+J17</f>
        <v>231038</v>
      </c>
      <c r="K7" s="435">
        <f>J7/I7*100</f>
        <v>96.704225823734262</v>
      </c>
      <c r="L7" s="406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</row>
    <row r="8" spans="1:84" s="256" customFormat="1" ht="15.75">
      <c r="A8" s="248"/>
      <c r="B8" s="204" t="s">
        <v>319</v>
      </c>
      <c r="C8" s="54"/>
      <c r="D8" s="507">
        <f>D9+D132</f>
        <v>178271</v>
      </c>
      <c r="E8" s="507">
        <f>E9+E132</f>
        <v>175365</v>
      </c>
      <c r="F8" s="507">
        <f>F9+F132</f>
        <v>175365</v>
      </c>
      <c r="G8" s="508">
        <f>F8/E8*100</f>
        <v>100</v>
      </c>
      <c r="H8" s="509">
        <f>H9+H16</f>
        <v>71376</v>
      </c>
      <c r="I8" s="509">
        <f>I9+I16</f>
        <v>72779</v>
      </c>
      <c r="J8" s="509">
        <f>J9+J16</f>
        <v>69683</v>
      </c>
      <c r="K8" s="521">
        <f>J8/I8*100</f>
        <v>95.746025639264076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</row>
    <row r="9" spans="1:84" s="262" customFormat="1" ht="31.5">
      <c r="A9" s="248"/>
      <c r="B9" s="204" t="s">
        <v>254</v>
      </c>
      <c r="C9" s="522" t="s">
        <v>5</v>
      </c>
      <c r="D9" s="510">
        <f>SUM(D10:D15)</f>
        <v>178151</v>
      </c>
      <c r="E9" s="510">
        <f t="shared" ref="E9:F9" si="1">SUM(E10:E15)</f>
        <v>175155</v>
      </c>
      <c r="F9" s="510">
        <f t="shared" si="1"/>
        <v>175155</v>
      </c>
      <c r="G9" s="508">
        <f t="shared" ref="G9:G15" si="2">F9/E9*100</f>
        <v>100</v>
      </c>
      <c r="H9" s="511">
        <f>SUM(H10:H15)</f>
        <v>71066</v>
      </c>
      <c r="I9" s="511">
        <f>SUM(I10:I15)</f>
        <v>71328</v>
      </c>
      <c r="J9" s="511">
        <f>SUM(J10:J15)</f>
        <v>69683</v>
      </c>
      <c r="K9" s="523">
        <f t="shared" ref="K9:K15" si="3">J9/I9*100</f>
        <v>97.693752803947959</v>
      </c>
      <c r="L9" s="408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</row>
    <row r="10" spans="1:84" s="262" customFormat="1" ht="15.75">
      <c r="A10" s="248"/>
      <c r="B10" s="6" t="s">
        <v>154</v>
      </c>
      <c r="C10" s="437" t="s">
        <v>5</v>
      </c>
      <c r="D10" s="512">
        <v>23592</v>
      </c>
      <c r="E10" s="513">
        <v>22827</v>
      </c>
      <c r="F10" s="513">
        <v>22827</v>
      </c>
      <c r="G10" s="514">
        <f t="shared" si="2"/>
        <v>100</v>
      </c>
      <c r="H10" s="515">
        <v>13566</v>
      </c>
      <c r="I10" s="515">
        <v>14840</v>
      </c>
      <c r="J10" s="515">
        <v>14497</v>
      </c>
      <c r="K10" s="214">
        <f t="shared" si="3"/>
        <v>97.688679245283012</v>
      </c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</row>
    <row r="11" spans="1:84" s="270" customFormat="1" ht="15.75">
      <c r="A11" s="248"/>
      <c r="B11" s="6" t="s">
        <v>155</v>
      </c>
      <c r="C11" s="437" t="s">
        <v>5</v>
      </c>
      <c r="D11" s="512">
        <v>22582</v>
      </c>
      <c r="E11" s="513">
        <v>21569</v>
      </c>
      <c r="F11" s="513">
        <v>21569</v>
      </c>
      <c r="G11" s="514">
        <f t="shared" si="2"/>
        <v>100</v>
      </c>
      <c r="H11" s="515">
        <v>14181</v>
      </c>
      <c r="I11" s="515">
        <v>13859</v>
      </c>
      <c r="J11" s="515">
        <v>13540</v>
      </c>
      <c r="K11" s="214">
        <f t="shared" si="3"/>
        <v>97.698246626740755</v>
      </c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</row>
    <row r="12" spans="1:84" s="256" customFormat="1" ht="15.75">
      <c r="A12" s="263"/>
      <c r="B12" s="6" t="s">
        <v>255</v>
      </c>
      <c r="C12" s="437" t="s">
        <v>5</v>
      </c>
      <c r="D12" s="512">
        <v>12056</v>
      </c>
      <c r="E12" s="513">
        <v>11612</v>
      </c>
      <c r="F12" s="513">
        <v>11612</v>
      </c>
      <c r="G12" s="514">
        <f t="shared" si="2"/>
        <v>100</v>
      </c>
      <c r="H12" s="515">
        <v>11798</v>
      </c>
      <c r="I12" s="515">
        <v>11426</v>
      </c>
      <c r="J12" s="515">
        <v>11162</v>
      </c>
      <c r="K12" s="214">
        <f t="shared" si="3"/>
        <v>97.689480133029932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</row>
    <row r="13" spans="1:84" s="270" customFormat="1" ht="15.75">
      <c r="A13" s="248"/>
      <c r="B13" s="6" t="s">
        <v>158</v>
      </c>
      <c r="C13" s="437" t="s">
        <v>5</v>
      </c>
      <c r="D13" s="512">
        <v>6240</v>
      </c>
      <c r="E13" s="513">
        <v>5989</v>
      </c>
      <c r="F13" s="513">
        <v>5989</v>
      </c>
      <c r="G13" s="514">
        <f t="shared" si="2"/>
        <v>100</v>
      </c>
      <c r="H13" s="515">
        <v>6753</v>
      </c>
      <c r="I13" s="515">
        <v>6390</v>
      </c>
      <c r="J13" s="515">
        <v>6243</v>
      </c>
      <c r="K13" s="214">
        <f t="shared" si="3"/>
        <v>97.699530516431921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</row>
    <row r="14" spans="1:84" s="270" customFormat="1" ht="15.75">
      <c r="A14" s="263"/>
      <c r="B14" s="6" t="s">
        <v>157</v>
      </c>
      <c r="C14" s="437" t="s">
        <v>5</v>
      </c>
      <c r="D14" s="512">
        <v>49616</v>
      </c>
      <c r="E14" s="513">
        <v>48429</v>
      </c>
      <c r="F14" s="513">
        <v>48429</v>
      </c>
      <c r="G14" s="514">
        <f t="shared" si="2"/>
        <v>100</v>
      </c>
      <c r="H14" s="515">
        <v>14193</v>
      </c>
      <c r="I14" s="515">
        <v>14200</v>
      </c>
      <c r="J14" s="515">
        <v>13873</v>
      </c>
      <c r="K14" s="214">
        <f t="shared" si="3"/>
        <v>97.697183098591552</v>
      </c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</row>
    <row r="15" spans="1:84" s="270" customFormat="1" ht="15.75">
      <c r="A15" s="263"/>
      <c r="B15" s="6" t="s">
        <v>159</v>
      </c>
      <c r="C15" s="437" t="s">
        <v>5</v>
      </c>
      <c r="D15" s="512">
        <v>64065</v>
      </c>
      <c r="E15" s="513">
        <v>64729</v>
      </c>
      <c r="F15" s="513">
        <v>64729</v>
      </c>
      <c r="G15" s="514">
        <f t="shared" si="2"/>
        <v>100</v>
      </c>
      <c r="H15" s="515">
        <v>10575</v>
      </c>
      <c r="I15" s="515">
        <v>10613</v>
      </c>
      <c r="J15" s="515">
        <v>10368</v>
      </c>
      <c r="K15" s="214">
        <f t="shared" si="3"/>
        <v>97.691510411759168</v>
      </c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</row>
    <row r="16" spans="1:84" s="273" customFormat="1" ht="34.5" customHeight="1">
      <c r="A16" s="263"/>
      <c r="B16" s="524" t="s">
        <v>262</v>
      </c>
      <c r="C16" s="437"/>
      <c r="D16" s="512"/>
      <c r="E16" s="513"/>
      <c r="F16" s="513"/>
      <c r="G16" s="514"/>
      <c r="H16" s="515">
        <f>71376.1-71066-0.1</f>
        <v>310.0000000000058</v>
      </c>
      <c r="I16" s="515">
        <f>72779.6-71328-0.6</f>
        <v>1451.0000000000059</v>
      </c>
      <c r="J16" s="515"/>
      <c r="K16" s="214">
        <f t="shared" ref="K16:K83" si="4">J16/I16*100</f>
        <v>0</v>
      </c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</row>
    <row r="17" spans="1:84" s="247" customFormat="1" ht="29.25" customHeight="1">
      <c r="A17" s="248"/>
      <c r="B17" s="204" t="s">
        <v>160</v>
      </c>
      <c r="C17" s="525"/>
      <c r="D17" s="516">
        <f>D18+D19+D20+D23+D22+D21</f>
        <v>37668</v>
      </c>
      <c r="E17" s="516">
        <f t="shared" ref="E17:F17" si="5">E18+E19+E20+E23+E22+E21</f>
        <v>37668</v>
      </c>
      <c r="F17" s="516">
        <f t="shared" si="5"/>
        <v>39926.5</v>
      </c>
      <c r="G17" s="508">
        <f t="shared" ref="G17:G52" si="6">F17/E17*100</f>
        <v>105.99580545821388</v>
      </c>
      <c r="H17" s="511">
        <f>SUM(H18:H23)</f>
        <v>164976</v>
      </c>
      <c r="I17" s="511">
        <f>SUM(I18:I23)</f>
        <v>166133</v>
      </c>
      <c r="J17" s="511">
        <f>SUM(J18:J23)</f>
        <v>161355</v>
      </c>
      <c r="K17" s="523">
        <f>J17/I17*100</f>
        <v>97.123991019243618</v>
      </c>
      <c r="L17" s="309">
        <f>4301.3</f>
        <v>4301.3</v>
      </c>
      <c r="M17" s="439">
        <f>(L17)/I17</f>
        <v>2.5890702027893314E-2</v>
      </c>
      <c r="N17" s="440">
        <f>1-M17</f>
        <v>0.97410929797210666</v>
      </c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</row>
    <row r="18" spans="1:84" s="247" customFormat="1" ht="34.5" customHeight="1">
      <c r="A18" s="79" t="s">
        <v>4</v>
      </c>
      <c r="B18" s="80" t="s">
        <v>161</v>
      </c>
      <c r="C18" s="526" t="s">
        <v>162</v>
      </c>
      <c r="D18" s="118">
        <v>15</v>
      </c>
      <c r="E18" s="118">
        <v>15</v>
      </c>
      <c r="F18" s="118">
        <v>40</v>
      </c>
      <c r="G18" s="508">
        <f t="shared" si="6"/>
        <v>266.66666666666663</v>
      </c>
      <c r="H18" s="517">
        <v>12300</v>
      </c>
      <c r="I18" s="517">
        <f>12673.1-0.1</f>
        <v>12673</v>
      </c>
      <c r="J18" s="517">
        <f>12343.9+0.1</f>
        <v>12344</v>
      </c>
      <c r="K18" s="523">
        <f t="shared" si="4"/>
        <v>97.403929614140296</v>
      </c>
      <c r="L18" s="309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</row>
    <row r="19" spans="1:84" s="247" customFormat="1" ht="34.5" customHeight="1">
      <c r="A19" s="82" t="s">
        <v>6</v>
      </c>
      <c r="B19" s="83" t="s">
        <v>164</v>
      </c>
      <c r="C19" s="526" t="s">
        <v>165</v>
      </c>
      <c r="D19" s="118">
        <v>37600</v>
      </c>
      <c r="E19" s="118">
        <v>37600</v>
      </c>
      <c r="F19" s="118">
        <v>39812</v>
      </c>
      <c r="G19" s="508">
        <f t="shared" si="6"/>
        <v>105.88297872340426</v>
      </c>
      <c r="H19" s="517">
        <v>48349</v>
      </c>
      <c r="I19" s="517">
        <f>47169.2-0.2</f>
        <v>47169</v>
      </c>
      <c r="J19" s="517">
        <f>45944.2-0.2</f>
        <v>45944</v>
      </c>
      <c r="K19" s="523">
        <f t="shared" si="4"/>
        <v>97.402955330831688</v>
      </c>
      <c r="L19" s="309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</row>
    <row r="20" spans="1:84" s="247" customFormat="1" ht="34.5" customHeight="1">
      <c r="A20" s="79" t="s">
        <v>8</v>
      </c>
      <c r="B20" s="84" t="s">
        <v>166</v>
      </c>
      <c r="C20" s="526" t="s">
        <v>167</v>
      </c>
      <c r="D20" s="118">
        <v>23</v>
      </c>
      <c r="E20" s="118">
        <v>23</v>
      </c>
      <c r="F20" s="118">
        <v>24.5</v>
      </c>
      <c r="G20" s="508">
        <f t="shared" si="6"/>
        <v>106.5217391304348</v>
      </c>
      <c r="H20" s="517">
        <v>95783</v>
      </c>
      <c r="I20" s="517">
        <f>101696.9+0.1</f>
        <v>101697</v>
      </c>
      <c r="J20" s="517">
        <f>99056.4-0.4</f>
        <v>99056</v>
      </c>
      <c r="K20" s="523">
        <f t="shared" si="4"/>
        <v>97.403069903733638</v>
      </c>
      <c r="L20" s="309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</row>
    <row r="21" spans="1:84" s="247" customFormat="1" ht="34.5" customHeight="1">
      <c r="A21" s="79" t="s">
        <v>18</v>
      </c>
      <c r="B21" s="84" t="s">
        <v>168</v>
      </c>
      <c r="C21" s="526" t="s">
        <v>185</v>
      </c>
      <c r="D21" s="118">
        <v>20</v>
      </c>
      <c r="E21" s="118">
        <v>20</v>
      </c>
      <c r="F21" s="118">
        <v>22</v>
      </c>
      <c r="G21" s="508">
        <f t="shared" si="6"/>
        <v>110.00000000000001</v>
      </c>
      <c r="H21" s="517">
        <v>2692</v>
      </c>
      <c r="I21" s="517">
        <f>4117.7/30*20-0.1</f>
        <v>2745.0333333333333</v>
      </c>
      <c r="J21" s="517">
        <f>2673.7+0.3</f>
        <v>2674</v>
      </c>
      <c r="K21" s="523">
        <f t="shared" si="4"/>
        <v>97.412296146980609</v>
      </c>
      <c r="L21" s="309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</row>
    <row r="22" spans="1:84" s="247" customFormat="1" ht="34.5" customHeight="1">
      <c r="A22" s="79" t="s">
        <v>21</v>
      </c>
      <c r="B22" s="84" t="s">
        <v>168</v>
      </c>
      <c r="C22" s="526" t="s">
        <v>186</v>
      </c>
      <c r="D22" s="118">
        <v>10</v>
      </c>
      <c r="E22" s="118">
        <v>10</v>
      </c>
      <c r="F22" s="118">
        <v>28</v>
      </c>
      <c r="G22" s="508">
        <f t="shared" si="6"/>
        <v>280</v>
      </c>
      <c r="H22" s="517">
        <f>4038-2692</f>
        <v>1346</v>
      </c>
      <c r="I22" s="517">
        <f>4117.7/30*10+0.4</f>
        <v>1372.9666666666667</v>
      </c>
      <c r="J22" s="517">
        <f>1337.3-0.3</f>
        <v>1337</v>
      </c>
      <c r="K22" s="523">
        <f t="shared" si="4"/>
        <v>97.380368544999868</v>
      </c>
      <c r="L22" s="309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</row>
    <row r="23" spans="1:84" s="247" customFormat="1" ht="34.5" customHeight="1">
      <c r="A23" s="279"/>
      <c r="B23" s="524" t="s">
        <v>262</v>
      </c>
      <c r="C23" s="527"/>
      <c r="D23" s="518"/>
      <c r="E23" s="518"/>
      <c r="F23" s="518"/>
      <c r="G23" s="519"/>
      <c r="H23" s="520">
        <f>164975.6-160470+0.4</f>
        <v>4506.0000000000055</v>
      </c>
      <c r="I23" s="520">
        <f>475.7+0.3</f>
        <v>476</v>
      </c>
      <c r="J23" s="520"/>
      <c r="K23" s="523"/>
      <c r="L23" s="309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</row>
    <row r="24" spans="1:84" s="291" customFormat="1" ht="37.5">
      <c r="A24" s="420" t="s">
        <v>95</v>
      </c>
      <c r="B24" s="286" t="s">
        <v>259</v>
      </c>
      <c r="C24" s="458"/>
      <c r="D24" s="288">
        <f>D25+D32</f>
        <v>35346</v>
      </c>
      <c r="E24" s="288">
        <f t="shared" ref="E24:F24" si="7">E25+E32</f>
        <v>37248</v>
      </c>
      <c r="F24" s="288">
        <f t="shared" si="7"/>
        <v>37489</v>
      </c>
      <c r="G24" s="289">
        <f t="shared" si="6"/>
        <v>100.64701460481101</v>
      </c>
      <c r="H24" s="288">
        <f>H25+H32</f>
        <v>151484</v>
      </c>
      <c r="I24" s="288">
        <f t="shared" ref="I24" si="8">I25+I32</f>
        <v>155353</v>
      </c>
      <c r="J24" s="288">
        <f t="shared" ref="J24" si="9">J25+J32</f>
        <v>151140</v>
      </c>
      <c r="K24" s="289">
        <f t="shared" si="4"/>
        <v>97.288111591021746</v>
      </c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</row>
    <row r="25" spans="1:84" s="298" customFormat="1" ht="15.75">
      <c r="A25" s="292" t="s">
        <v>97</v>
      </c>
      <c r="B25" s="144" t="s">
        <v>34</v>
      </c>
      <c r="C25" s="459"/>
      <c r="D25" s="442">
        <f>D26</f>
        <v>35346</v>
      </c>
      <c r="E25" s="442">
        <f t="shared" ref="E25:F25" si="10">E26</f>
        <v>35346</v>
      </c>
      <c r="F25" s="442">
        <f t="shared" si="10"/>
        <v>35346</v>
      </c>
      <c r="G25" s="443">
        <f t="shared" si="6"/>
        <v>100</v>
      </c>
      <c r="H25" s="442">
        <f>H26</f>
        <v>1650</v>
      </c>
      <c r="I25" s="442">
        <f t="shared" ref="I25:J25" si="11">I26</f>
        <v>1650</v>
      </c>
      <c r="J25" s="442">
        <f t="shared" si="11"/>
        <v>1650</v>
      </c>
      <c r="K25" s="443">
        <f t="shared" si="4"/>
        <v>100</v>
      </c>
    </row>
    <row r="26" spans="1:84" s="298" customFormat="1" ht="31.5">
      <c r="A26" s="292"/>
      <c r="B26" s="444" t="s">
        <v>10</v>
      </c>
      <c r="C26" s="131"/>
      <c r="D26" s="132">
        <f>SUM(D27:D31)</f>
        <v>35346</v>
      </c>
      <c r="E26" s="132">
        <f>SUM(E27:E31)</f>
        <v>35346</v>
      </c>
      <c r="F26" s="132">
        <f>SUM(F27:F31)</f>
        <v>35346</v>
      </c>
      <c r="G26" s="445">
        <f t="shared" si="6"/>
        <v>100</v>
      </c>
      <c r="H26" s="132">
        <f t="shared" ref="H26:I26" si="12">SUM(H27:H31)</f>
        <v>1650</v>
      </c>
      <c r="I26" s="132">
        <f t="shared" si="12"/>
        <v>1650</v>
      </c>
      <c r="J26" s="132">
        <f>SUM(J27:J31)</f>
        <v>1650</v>
      </c>
      <c r="K26" s="445">
        <f t="shared" si="4"/>
        <v>100</v>
      </c>
    </row>
    <row r="27" spans="1:84" s="308" customFormat="1" ht="31.5">
      <c r="A27" s="301"/>
      <c r="B27" s="446" t="s">
        <v>11</v>
      </c>
      <c r="C27" s="528" t="s">
        <v>320</v>
      </c>
      <c r="D27" s="134">
        <v>1278</v>
      </c>
      <c r="E27" s="134">
        <v>1278</v>
      </c>
      <c r="F27" s="134">
        <v>1278</v>
      </c>
      <c r="G27" s="447">
        <f>F27/E27*100</f>
        <v>100</v>
      </c>
      <c r="H27" s="448">
        <v>129</v>
      </c>
      <c r="I27" s="448">
        <v>129</v>
      </c>
      <c r="J27" s="448">
        <v>129</v>
      </c>
      <c r="K27" s="447">
        <f>J27/I27*100</f>
        <v>100</v>
      </c>
    </row>
    <row r="28" spans="1:84" s="309" customFormat="1" ht="31.5">
      <c r="A28" s="301"/>
      <c r="B28" s="446" t="s">
        <v>13</v>
      </c>
      <c r="C28" s="528" t="s">
        <v>320</v>
      </c>
      <c r="D28" s="134">
        <v>5337</v>
      </c>
      <c r="E28" s="134">
        <v>5337</v>
      </c>
      <c r="F28" s="134">
        <v>5337</v>
      </c>
      <c r="G28" s="447">
        <f t="shared" si="6"/>
        <v>100</v>
      </c>
      <c r="H28" s="449">
        <v>334</v>
      </c>
      <c r="I28" s="449">
        <v>334</v>
      </c>
      <c r="J28" s="449">
        <v>334</v>
      </c>
      <c r="K28" s="447">
        <f t="shared" si="4"/>
        <v>100</v>
      </c>
    </row>
    <row r="29" spans="1:84" s="309" customFormat="1" ht="31.5">
      <c r="A29" s="301"/>
      <c r="B29" s="446" t="s">
        <v>15</v>
      </c>
      <c r="C29" s="528" t="s">
        <v>320</v>
      </c>
      <c r="D29" s="134">
        <v>8769</v>
      </c>
      <c r="E29" s="134">
        <v>8769</v>
      </c>
      <c r="F29" s="134">
        <v>8769</v>
      </c>
      <c r="G29" s="447">
        <f t="shared" si="6"/>
        <v>100</v>
      </c>
      <c r="H29" s="449">
        <v>337</v>
      </c>
      <c r="I29" s="449">
        <v>337</v>
      </c>
      <c r="J29" s="449">
        <v>337</v>
      </c>
      <c r="K29" s="447">
        <f t="shared" si="4"/>
        <v>100</v>
      </c>
    </row>
    <row r="30" spans="1:84" s="309" customFormat="1" ht="31.5">
      <c r="A30" s="301"/>
      <c r="B30" s="446" t="s">
        <v>17</v>
      </c>
      <c r="C30" s="528" t="s">
        <v>320</v>
      </c>
      <c r="D30" s="134">
        <v>12642</v>
      </c>
      <c r="E30" s="134">
        <v>12642</v>
      </c>
      <c r="F30" s="134">
        <v>12642</v>
      </c>
      <c r="G30" s="447">
        <f t="shared" si="6"/>
        <v>100</v>
      </c>
      <c r="H30" s="449">
        <v>506</v>
      </c>
      <c r="I30" s="449">
        <v>506</v>
      </c>
      <c r="J30" s="449">
        <v>506</v>
      </c>
      <c r="K30" s="447">
        <f t="shared" si="4"/>
        <v>100</v>
      </c>
    </row>
    <row r="31" spans="1:84" s="309" customFormat="1" ht="31.5">
      <c r="A31" s="301"/>
      <c r="B31" s="446" t="s">
        <v>23</v>
      </c>
      <c r="C31" s="528" t="s">
        <v>320</v>
      </c>
      <c r="D31" s="134">
        <v>7320</v>
      </c>
      <c r="E31" s="134">
        <v>7320</v>
      </c>
      <c r="F31" s="134">
        <v>7320</v>
      </c>
      <c r="G31" s="447">
        <f>F31/E31*100</f>
        <v>100</v>
      </c>
      <c r="H31" s="449">
        <v>344</v>
      </c>
      <c r="I31" s="449">
        <v>344</v>
      </c>
      <c r="J31" s="449">
        <v>344</v>
      </c>
      <c r="K31" s="447">
        <f>J31/I31*100</f>
        <v>100</v>
      </c>
    </row>
    <row r="32" spans="1:84" s="298" customFormat="1" ht="15.75">
      <c r="A32" s="292" t="s">
        <v>99</v>
      </c>
      <c r="B32" s="144" t="s">
        <v>39</v>
      </c>
      <c r="C32" s="441"/>
      <c r="D32" s="421">
        <f>D33+D42+D133+D48+D49+D50+D51+D52+D53</f>
        <v>0</v>
      </c>
      <c r="E32" s="421">
        <f>E33+E42+E133+E48+E49+E50+E51+E52</f>
        <v>1902</v>
      </c>
      <c r="F32" s="421">
        <f>F33+F42+F133+F48+F49+F50+F51+F52</f>
        <v>2143</v>
      </c>
      <c r="G32" s="443">
        <f t="shared" si="6"/>
        <v>112.67087276551</v>
      </c>
      <c r="H32" s="421">
        <f>H33+H42+H133+H48+H49+H50+H51+H52+H53</f>
        <v>149834</v>
      </c>
      <c r="I32" s="421">
        <f>I33+I42+I133+I48+I49+I50+I51+I52</f>
        <v>153703</v>
      </c>
      <c r="J32" s="421">
        <f>J33+J42+J133+J48+J49+J50+J51+J52</f>
        <v>149490</v>
      </c>
      <c r="K32" s="443">
        <f t="shared" si="4"/>
        <v>97.258999499033848</v>
      </c>
    </row>
    <row r="33" spans="1:11" s="298" customFormat="1" ht="63">
      <c r="A33" s="292"/>
      <c r="B33" s="444" t="s">
        <v>42</v>
      </c>
      <c r="C33" s="528" t="s">
        <v>321</v>
      </c>
      <c r="D33" s="132">
        <f>SUM(D34:D41)</f>
        <v>0</v>
      </c>
      <c r="E33" s="132">
        <f>SUM(E34:E41)</f>
        <v>750</v>
      </c>
      <c r="F33" s="132">
        <f>SUM(F34:F41)</f>
        <v>921</v>
      </c>
      <c r="G33" s="445">
        <f t="shared" si="6"/>
        <v>122.8</v>
      </c>
      <c r="H33" s="132">
        <f>SUM(H34:H41)</f>
        <v>0</v>
      </c>
      <c r="I33" s="132">
        <f>SUM(I34:I41)</f>
        <v>104270</v>
      </c>
      <c r="J33" s="132">
        <f>SUM(J34:J41)</f>
        <v>101119</v>
      </c>
      <c r="K33" s="445">
        <f t="shared" si="4"/>
        <v>96.978037786515785</v>
      </c>
    </row>
    <row r="34" spans="1:11" s="298" customFormat="1" ht="63">
      <c r="A34" s="292"/>
      <c r="B34" s="446" t="s">
        <v>43</v>
      </c>
      <c r="C34" s="528" t="s">
        <v>321</v>
      </c>
      <c r="D34" s="450"/>
      <c r="E34" s="134">
        <f>167+42</f>
        <v>209</v>
      </c>
      <c r="F34" s="134">
        <f>219+49</f>
        <v>268</v>
      </c>
      <c r="G34" s="445">
        <f t="shared" si="6"/>
        <v>128.22966507177034</v>
      </c>
      <c r="H34" s="451"/>
      <c r="I34" s="451">
        <v>28472</v>
      </c>
      <c r="J34" s="451">
        <v>26381</v>
      </c>
      <c r="K34" s="445">
        <f t="shared" si="4"/>
        <v>92.655942680528241</v>
      </c>
    </row>
    <row r="35" spans="1:11" s="298" customFormat="1" ht="63">
      <c r="A35" s="292"/>
      <c r="B35" s="446" t="s">
        <v>45</v>
      </c>
      <c r="C35" s="528" t="s">
        <v>321</v>
      </c>
      <c r="D35" s="450"/>
      <c r="E35" s="134">
        <f>140+72</f>
        <v>212</v>
      </c>
      <c r="F35" s="134">
        <f>150+89</f>
        <v>239</v>
      </c>
      <c r="G35" s="445">
        <f t="shared" si="6"/>
        <v>112.73584905660377</v>
      </c>
      <c r="H35" s="451"/>
      <c r="I35" s="451">
        <v>27050</v>
      </c>
      <c r="J35" s="451">
        <v>25990</v>
      </c>
      <c r="K35" s="445">
        <f t="shared" si="4"/>
        <v>96.081330868761555</v>
      </c>
    </row>
    <row r="36" spans="1:11" s="298" customFormat="1" ht="63">
      <c r="A36" s="292"/>
      <c r="B36" s="446" t="s">
        <v>46</v>
      </c>
      <c r="C36" s="528" t="s">
        <v>321</v>
      </c>
      <c r="D36" s="450"/>
      <c r="E36" s="134">
        <f>32+48</f>
        <v>80</v>
      </c>
      <c r="F36" s="134">
        <f>39+61</f>
        <v>100</v>
      </c>
      <c r="G36" s="445">
        <f t="shared" si="6"/>
        <v>125</v>
      </c>
      <c r="H36" s="451"/>
      <c r="I36" s="451">
        <v>11032</v>
      </c>
      <c r="J36" s="451">
        <v>11032</v>
      </c>
      <c r="K36" s="445">
        <f t="shared" si="4"/>
        <v>100</v>
      </c>
    </row>
    <row r="37" spans="1:11" s="298" customFormat="1" ht="63">
      <c r="A37" s="292"/>
      <c r="B37" s="446" t="s">
        <v>48</v>
      </c>
      <c r="C37" s="528" t="s">
        <v>321</v>
      </c>
      <c r="D37" s="450"/>
      <c r="E37" s="134">
        <f>80+12</f>
        <v>92</v>
      </c>
      <c r="F37" s="134">
        <f>80+16</f>
        <v>96</v>
      </c>
      <c r="G37" s="445">
        <f t="shared" si="6"/>
        <v>104.34782608695652</v>
      </c>
      <c r="H37" s="451"/>
      <c r="I37" s="451">
        <v>12580</v>
      </c>
      <c r="J37" s="451">
        <v>12580</v>
      </c>
      <c r="K37" s="445">
        <f t="shared" si="4"/>
        <v>100</v>
      </c>
    </row>
    <row r="38" spans="1:11" s="298" customFormat="1" ht="63">
      <c r="A38" s="292"/>
      <c r="B38" s="446" t="s">
        <v>49</v>
      </c>
      <c r="C38" s="528" t="s">
        <v>321</v>
      </c>
      <c r="D38" s="450"/>
      <c r="E38" s="134">
        <f>20+27</f>
        <v>47</v>
      </c>
      <c r="F38" s="134">
        <f>32+27</f>
        <v>59</v>
      </c>
      <c r="G38" s="445">
        <f t="shared" si="6"/>
        <v>125.53191489361701</v>
      </c>
      <c r="H38" s="451"/>
      <c r="I38" s="451">
        <v>9237</v>
      </c>
      <c r="J38" s="451">
        <v>9237</v>
      </c>
      <c r="K38" s="445">
        <f t="shared" si="4"/>
        <v>100</v>
      </c>
    </row>
    <row r="39" spans="1:11" s="298" customFormat="1" ht="63">
      <c r="A39" s="292"/>
      <c r="B39" s="446" t="s">
        <v>50</v>
      </c>
      <c r="C39" s="528" t="s">
        <v>321</v>
      </c>
      <c r="D39" s="450"/>
      <c r="E39" s="134">
        <f>42+30</f>
        <v>72</v>
      </c>
      <c r="F39" s="134">
        <f>76+41</f>
        <v>117</v>
      </c>
      <c r="G39" s="445">
        <f t="shared" si="6"/>
        <v>162.5</v>
      </c>
      <c r="H39" s="451"/>
      <c r="I39" s="451">
        <v>11204</v>
      </c>
      <c r="J39" s="451">
        <v>11204</v>
      </c>
      <c r="K39" s="445">
        <f t="shared" si="4"/>
        <v>100</v>
      </c>
    </row>
    <row r="40" spans="1:11" s="298" customFormat="1" ht="63">
      <c r="A40" s="292"/>
      <c r="B40" s="446" t="s">
        <v>51</v>
      </c>
      <c r="C40" s="528" t="s">
        <v>321</v>
      </c>
      <c r="D40" s="450"/>
      <c r="E40" s="134">
        <v>28</v>
      </c>
      <c r="F40" s="134">
        <v>30</v>
      </c>
      <c r="G40" s="445">
        <f t="shared" si="6"/>
        <v>107.14285714285714</v>
      </c>
      <c r="H40" s="451"/>
      <c r="I40" s="451">
        <v>3024</v>
      </c>
      <c r="J40" s="451">
        <v>3024</v>
      </c>
      <c r="K40" s="445">
        <f t="shared" si="4"/>
        <v>100</v>
      </c>
    </row>
    <row r="41" spans="1:11" s="298" customFormat="1" ht="63">
      <c r="A41" s="292"/>
      <c r="B41" s="446" t="s">
        <v>190</v>
      </c>
      <c r="C41" s="528" t="s">
        <v>321</v>
      </c>
      <c r="D41" s="450"/>
      <c r="E41" s="134">
        <v>10</v>
      </c>
      <c r="F41" s="134">
        <v>12</v>
      </c>
      <c r="G41" s="445">
        <f t="shared" si="6"/>
        <v>120</v>
      </c>
      <c r="H41" s="451"/>
      <c r="I41" s="451">
        <v>1671</v>
      </c>
      <c r="J41" s="451">
        <v>1671</v>
      </c>
      <c r="K41" s="445">
        <f t="shared" si="4"/>
        <v>100</v>
      </c>
    </row>
    <row r="42" spans="1:11" s="298" customFormat="1" ht="63">
      <c r="A42" s="292"/>
      <c r="B42" s="444" t="s">
        <v>52</v>
      </c>
      <c r="C42" s="528" t="s">
        <v>321</v>
      </c>
      <c r="D42" s="132">
        <f>SUM(D43:D47)</f>
        <v>0</v>
      </c>
      <c r="E42" s="132">
        <f>SUM(E43:E47)</f>
        <v>230</v>
      </c>
      <c r="F42" s="132">
        <f>SUM(F43:F47)</f>
        <v>297</v>
      </c>
      <c r="G42" s="445">
        <f t="shared" si="6"/>
        <v>129.13043478260872</v>
      </c>
      <c r="H42" s="132">
        <f>SUM(H43:H47)</f>
        <v>0</v>
      </c>
      <c r="I42" s="132">
        <f>SUM(I43:I47)</f>
        <v>39867</v>
      </c>
      <c r="J42" s="132">
        <f>SUM(J43:J47)</f>
        <v>38805</v>
      </c>
      <c r="K42" s="445">
        <f t="shared" si="4"/>
        <v>97.336142674392363</v>
      </c>
    </row>
    <row r="43" spans="1:11" s="298" customFormat="1" ht="63">
      <c r="A43" s="292"/>
      <c r="B43" s="446" t="s">
        <v>53</v>
      </c>
      <c r="C43" s="528" t="s">
        <v>321</v>
      </c>
      <c r="D43" s="450"/>
      <c r="E43" s="134">
        <f>100+42+4</f>
        <v>146</v>
      </c>
      <c r="F43" s="134">
        <f>112+66+5</f>
        <v>183</v>
      </c>
      <c r="G43" s="445">
        <f t="shared" si="6"/>
        <v>125.34246575342465</v>
      </c>
      <c r="H43" s="451"/>
      <c r="I43" s="451">
        <v>22128</v>
      </c>
      <c r="J43" s="451">
        <v>21066</v>
      </c>
      <c r="K43" s="445">
        <f t="shared" si="4"/>
        <v>95.200650759219087</v>
      </c>
    </row>
    <row r="44" spans="1:11" s="298" customFormat="1" ht="63">
      <c r="A44" s="292"/>
      <c r="B44" s="446" t="s">
        <v>54</v>
      </c>
      <c r="C44" s="528" t="s">
        <v>321</v>
      </c>
      <c r="D44" s="450"/>
      <c r="E44" s="134">
        <f>10+14</f>
        <v>24</v>
      </c>
      <c r="F44" s="134">
        <f>11+20</f>
        <v>31</v>
      </c>
      <c r="G44" s="445">
        <f t="shared" si="6"/>
        <v>129.16666666666669</v>
      </c>
      <c r="H44" s="451"/>
      <c r="I44" s="451">
        <v>6082</v>
      </c>
      <c r="J44" s="451">
        <v>6082</v>
      </c>
      <c r="K44" s="445">
        <f t="shared" si="4"/>
        <v>100</v>
      </c>
    </row>
    <row r="45" spans="1:11" s="298" customFormat="1" ht="63">
      <c r="A45" s="292"/>
      <c r="B45" s="446" t="s">
        <v>55</v>
      </c>
      <c r="C45" s="528" t="s">
        <v>321</v>
      </c>
      <c r="D45" s="450"/>
      <c r="E45" s="134">
        <f>26+6</f>
        <v>32</v>
      </c>
      <c r="F45" s="134">
        <f>34+6</f>
        <v>40</v>
      </c>
      <c r="G45" s="445">
        <f t="shared" si="6"/>
        <v>125</v>
      </c>
      <c r="H45" s="451"/>
      <c r="I45" s="451">
        <v>5690</v>
      </c>
      <c r="J45" s="451">
        <v>5690</v>
      </c>
      <c r="K45" s="445">
        <f t="shared" si="4"/>
        <v>100</v>
      </c>
    </row>
    <row r="46" spans="1:11" s="298" customFormat="1" ht="63">
      <c r="A46" s="292"/>
      <c r="B46" s="446" t="s">
        <v>56</v>
      </c>
      <c r="C46" s="528" t="s">
        <v>321</v>
      </c>
      <c r="D46" s="450"/>
      <c r="E46" s="134">
        <v>24</v>
      </c>
      <c r="F46" s="134">
        <v>39</v>
      </c>
      <c r="G46" s="445">
        <f t="shared" si="6"/>
        <v>162.5</v>
      </c>
      <c r="H46" s="451"/>
      <c r="I46" s="451">
        <v>1989</v>
      </c>
      <c r="J46" s="451">
        <v>1989</v>
      </c>
      <c r="K46" s="445">
        <f t="shared" si="4"/>
        <v>100</v>
      </c>
    </row>
    <row r="47" spans="1:11" s="298" customFormat="1" ht="63">
      <c r="A47" s="292"/>
      <c r="B47" s="446" t="s">
        <v>199</v>
      </c>
      <c r="C47" s="528" t="s">
        <v>321</v>
      </c>
      <c r="D47" s="450"/>
      <c r="E47" s="134">
        <v>4</v>
      </c>
      <c r="F47" s="134">
        <v>4</v>
      </c>
      <c r="G47" s="445">
        <f t="shared" si="6"/>
        <v>100</v>
      </c>
      <c r="H47" s="451"/>
      <c r="I47" s="451">
        <v>3978</v>
      </c>
      <c r="J47" s="451">
        <v>3978</v>
      </c>
      <c r="K47" s="445">
        <f t="shared" si="4"/>
        <v>100</v>
      </c>
    </row>
    <row r="48" spans="1:11" s="298" customFormat="1" ht="31.5">
      <c r="A48" s="292"/>
      <c r="B48" s="2" t="s">
        <v>19</v>
      </c>
      <c r="C48" s="136" t="s">
        <v>323</v>
      </c>
      <c r="D48" s="442"/>
      <c r="E48" s="132">
        <v>54</v>
      </c>
      <c r="F48" s="132">
        <v>54</v>
      </c>
      <c r="G48" s="445">
        <f t="shared" si="6"/>
        <v>100</v>
      </c>
      <c r="H48" s="451"/>
      <c r="I48" s="451">
        <v>2374</v>
      </c>
      <c r="J48" s="451">
        <v>2374</v>
      </c>
      <c r="K48" s="445">
        <f t="shared" si="4"/>
        <v>100</v>
      </c>
    </row>
    <row r="49" spans="1:84" s="298" customFormat="1" ht="31.5">
      <c r="A49" s="292"/>
      <c r="B49" s="2" t="s">
        <v>22</v>
      </c>
      <c r="C49" s="136" t="s">
        <v>323</v>
      </c>
      <c r="D49" s="442"/>
      <c r="E49" s="132">
        <v>9</v>
      </c>
      <c r="F49" s="132">
        <v>9</v>
      </c>
      <c r="G49" s="445">
        <f t="shared" si="6"/>
        <v>100</v>
      </c>
      <c r="H49" s="451"/>
      <c r="I49" s="451">
        <v>1583</v>
      </c>
      <c r="J49" s="451">
        <v>1583</v>
      </c>
      <c r="K49" s="445">
        <f t="shared" si="4"/>
        <v>100</v>
      </c>
    </row>
    <row r="50" spans="1:84" s="298" customFormat="1" ht="63">
      <c r="A50" s="292"/>
      <c r="B50" s="2" t="s">
        <v>40</v>
      </c>
      <c r="C50" s="136" t="s">
        <v>324</v>
      </c>
      <c r="D50" s="442"/>
      <c r="E50" s="132">
        <v>231</v>
      </c>
      <c r="F50" s="132">
        <v>231</v>
      </c>
      <c r="G50" s="445">
        <f t="shared" si="6"/>
        <v>100</v>
      </c>
      <c r="H50" s="451"/>
      <c r="I50" s="451">
        <v>792</v>
      </c>
      <c r="J50" s="451">
        <v>792</v>
      </c>
      <c r="K50" s="445">
        <f t="shared" si="4"/>
        <v>100</v>
      </c>
    </row>
    <row r="51" spans="1:84" s="298" customFormat="1" ht="47.25">
      <c r="A51" s="292"/>
      <c r="B51" s="2" t="s">
        <v>37</v>
      </c>
      <c r="C51" s="136" t="s">
        <v>323</v>
      </c>
      <c r="D51" s="442"/>
      <c r="E51" s="132">
        <v>3</v>
      </c>
      <c r="F51" s="132">
        <v>6</v>
      </c>
      <c r="G51" s="445">
        <f t="shared" si="6"/>
        <v>200</v>
      </c>
      <c r="H51" s="451"/>
      <c r="I51" s="451">
        <v>1979</v>
      </c>
      <c r="J51" s="451">
        <v>1979</v>
      </c>
      <c r="K51" s="445">
        <f t="shared" si="4"/>
        <v>100</v>
      </c>
    </row>
    <row r="52" spans="1:84" s="298" customFormat="1" ht="31.5">
      <c r="A52" s="292"/>
      <c r="B52" s="2" t="s">
        <v>38</v>
      </c>
      <c r="C52" s="136" t="s">
        <v>323</v>
      </c>
      <c r="D52" s="442"/>
      <c r="E52" s="132">
        <v>110</v>
      </c>
      <c r="F52" s="132">
        <v>110</v>
      </c>
      <c r="G52" s="445">
        <f t="shared" si="6"/>
        <v>100</v>
      </c>
      <c r="H52" s="451"/>
      <c r="I52" s="451">
        <v>1187</v>
      </c>
      <c r="J52" s="451">
        <v>1187</v>
      </c>
      <c r="K52" s="445">
        <f t="shared" si="4"/>
        <v>100</v>
      </c>
    </row>
    <row r="53" spans="1:84" s="425" customFormat="1" ht="25.5">
      <c r="A53" s="462"/>
      <c r="B53" s="463" t="s">
        <v>262</v>
      </c>
      <c r="C53" s="529"/>
      <c r="D53" s="464"/>
      <c r="E53" s="465"/>
      <c r="F53" s="465"/>
      <c r="G53" s="466"/>
      <c r="H53" s="464">
        <f>149834-639</f>
        <v>149195</v>
      </c>
      <c r="I53" s="452"/>
      <c r="J53" s="452"/>
      <c r="K53" s="467"/>
    </row>
    <row r="54" spans="1:84" s="318" customFormat="1" ht="37.5">
      <c r="A54" s="138" t="s">
        <v>264</v>
      </c>
      <c r="B54" s="313" t="s">
        <v>265</v>
      </c>
      <c r="C54" s="458"/>
      <c r="D54" s="315">
        <f t="shared" ref="D54:F54" si="13">D55</f>
        <v>59160</v>
      </c>
      <c r="E54" s="316">
        <f t="shared" si="13"/>
        <v>59160</v>
      </c>
      <c r="F54" s="316">
        <f t="shared" si="13"/>
        <v>59280</v>
      </c>
      <c r="G54" s="317">
        <f>F54/E54*100</f>
        <v>100.2028397565923</v>
      </c>
      <c r="H54" s="290">
        <f>H55+H57</f>
        <v>11822</v>
      </c>
      <c r="I54" s="290">
        <f t="shared" ref="I54:J54" si="14">I55</f>
        <v>11809</v>
      </c>
      <c r="J54" s="290">
        <f t="shared" si="14"/>
        <v>11809</v>
      </c>
      <c r="K54" s="289">
        <f t="shared" ref="K54:K56" si="15">J54/I54*100</f>
        <v>100</v>
      </c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</row>
    <row r="55" spans="1:84" s="247" customFormat="1" ht="18.75">
      <c r="A55" s="248"/>
      <c r="B55" s="249" t="s">
        <v>169</v>
      </c>
      <c r="C55" s="457"/>
      <c r="D55" s="319">
        <f>D56</f>
        <v>59160</v>
      </c>
      <c r="E55" s="275">
        <f>E56</f>
        <v>59160</v>
      </c>
      <c r="F55" s="275">
        <f>F56</f>
        <v>59280</v>
      </c>
      <c r="G55" s="253">
        <f>F55/E55*100</f>
        <v>100.2028397565923</v>
      </c>
      <c r="H55" s="320">
        <f>H56</f>
        <v>11561</v>
      </c>
      <c r="I55" s="320">
        <f>I56</f>
        <v>11809</v>
      </c>
      <c r="J55" s="320">
        <f>J56</f>
        <v>11809</v>
      </c>
      <c r="K55" s="261">
        <f t="shared" si="15"/>
        <v>100</v>
      </c>
      <c r="L55" s="309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</row>
    <row r="56" spans="1:84" s="247" customFormat="1" ht="18.75">
      <c r="A56" s="321"/>
      <c r="B56" s="322" t="s">
        <v>170</v>
      </c>
      <c r="C56" s="525" t="s">
        <v>266</v>
      </c>
      <c r="D56" s="324">
        <v>59160</v>
      </c>
      <c r="E56" s="325">
        <v>59160</v>
      </c>
      <c r="F56" s="325">
        <v>59280</v>
      </c>
      <c r="G56" s="326">
        <f>F56/E56*100</f>
        <v>100.2028397565923</v>
      </c>
      <c r="H56" s="320">
        <v>11561</v>
      </c>
      <c r="I56" s="320">
        <v>11809</v>
      </c>
      <c r="J56" s="320">
        <v>11809</v>
      </c>
      <c r="K56" s="327">
        <f t="shared" si="15"/>
        <v>100</v>
      </c>
      <c r="L56" s="309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</row>
    <row r="57" spans="1:84" s="475" customFormat="1" ht="25.5">
      <c r="A57" s="468"/>
      <c r="B57" s="463" t="s">
        <v>262</v>
      </c>
      <c r="C57" s="530"/>
      <c r="D57" s="469"/>
      <c r="E57" s="470"/>
      <c r="F57" s="470"/>
      <c r="G57" s="471"/>
      <c r="H57" s="472">
        <f>11822-11561</f>
        <v>261</v>
      </c>
      <c r="I57" s="472"/>
      <c r="J57" s="472"/>
      <c r="K57" s="473"/>
      <c r="L57" s="418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  <c r="CC57" s="474"/>
      <c r="CD57" s="474"/>
      <c r="CE57" s="474"/>
      <c r="CF57" s="474"/>
    </row>
    <row r="58" spans="1:84" s="336" customFormat="1" ht="37.5">
      <c r="A58" s="138" t="s">
        <v>267</v>
      </c>
      <c r="B58" s="333" t="s">
        <v>272</v>
      </c>
      <c r="C58" s="531"/>
      <c r="D58" s="290">
        <f>D59+D103+D112+D118</f>
        <v>0</v>
      </c>
      <c r="E58" s="290">
        <f t="shared" ref="E58:F58" si="16">E59+E103+E112+E118</f>
        <v>23072</v>
      </c>
      <c r="F58" s="290">
        <f t="shared" si="16"/>
        <v>23058</v>
      </c>
      <c r="G58" s="334">
        <f>F58/E58*100</f>
        <v>99.939320388349515</v>
      </c>
      <c r="H58" s="290">
        <f>H59+H103+H112+H118+H132+H133+H136</f>
        <v>20254</v>
      </c>
      <c r="I58" s="290">
        <f t="shared" ref="I58:J58" si="17">I59+I103+I112+I118+I132+I133+I136</f>
        <v>22650</v>
      </c>
      <c r="J58" s="290">
        <f t="shared" si="17"/>
        <v>2361</v>
      </c>
      <c r="K58" s="335">
        <f t="shared" si="4"/>
        <v>10.423841059602649</v>
      </c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</row>
    <row r="59" spans="1:84" s="500" customFormat="1" ht="18.75">
      <c r="A59" s="495"/>
      <c r="B59" s="496" t="s">
        <v>273</v>
      </c>
      <c r="C59" s="532"/>
      <c r="D59" s="539"/>
      <c r="E59" s="539">
        <f>E60+E71+E65+E78+E99+E101</f>
        <v>16920</v>
      </c>
      <c r="F59" s="539">
        <f>F60+F71+F65+F78+F99+F101</f>
        <v>16920</v>
      </c>
      <c r="G59" s="539" t="e">
        <f>G60+G67+G77+G84+G101+G103+G83</f>
        <v>#DIV/0!</v>
      </c>
      <c r="H59" s="539"/>
      <c r="I59" s="539">
        <f>I60+I71+I65+I78+I99+I101</f>
        <v>0</v>
      </c>
      <c r="J59" s="539">
        <f>J60+J71+J65+J78+J99+J101</f>
        <v>0</v>
      </c>
      <c r="K59" s="491" t="e">
        <f t="shared" si="4"/>
        <v>#DIV/0!</v>
      </c>
      <c r="L59" s="497"/>
      <c r="M59" s="498"/>
      <c r="N59" s="498"/>
      <c r="O59" s="498"/>
      <c r="P59" s="498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9"/>
      <c r="CC59" s="499"/>
      <c r="CD59" s="499"/>
      <c r="CE59" s="499"/>
      <c r="CF59" s="499"/>
    </row>
    <row r="60" spans="1:84" s="352" customFormat="1" ht="18.75">
      <c r="A60" s="342"/>
      <c r="B60" s="144" t="s">
        <v>231</v>
      </c>
      <c r="C60" s="145" t="s">
        <v>61</v>
      </c>
      <c r="D60" s="221">
        <f>SUM(D61:D64)</f>
        <v>0</v>
      </c>
      <c r="E60" s="221">
        <f>'Свод за 2021 год'!E317</f>
        <v>2263</v>
      </c>
      <c r="F60" s="221">
        <f>'Свод за 2021 год'!F317</f>
        <v>2263</v>
      </c>
      <c r="G60" s="540">
        <f>F60/E60*100</f>
        <v>100</v>
      </c>
      <c r="H60" s="221">
        <f>SUM(H61:H64)</f>
        <v>0</v>
      </c>
      <c r="I60" s="221">
        <f t="shared" ref="I60:J60" si="18">SUM(I61:I64)</f>
        <v>0</v>
      </c>
      <c r="J60" s="221">
        <f t="shared" si="18"/>
        <v>0</v>
      </c>
      <c r="K60" s="347" t="e">
        <f>J60/I60*100</f>
        <v>#DIV/0!</v>
      </c>
      <c r="L60" s="298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</row>
    <row r="61" spans="1:84" s="352" customFormat="1" ht="32.25">
      <c r="A61" s="348"/>
      <c r="B61" s="6" t="s">
        <v>309</v>
      </c>
      <c r="C61" s="196" t="s">
        <v>61</v>
      </c>
      <c r="D61" s="31"/>
      <c r="E61" s="34">
        <f>'Свод за 2021 год'!E318</f>
        <v>110</v>
      </c>
      <c r="F61" s="34">
        <f>'Свод за 2021 год'!F318</f>
        <v>110</v>
      </c>
      <c r="G61" s="131">
        <f t="shared" ref="G61:G106" si="19">F61/E61*100</f>
        <v>100</v>
      </c>
      <c r="H61" s="515"/>
      <c r="I61" s="541"/>
      <c r="J61" s="541"/>
      <c r="K61" s="351" t="e">
        <f t="shared" si="4"/>
        <v>#DIV/0!</v>
      </c>
      <c r="L61" s="298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</row>
    <row r="62" spans="1:84" s="247" customFormat="1" ht="32.25">
      <c r="A62" s="348"/>
      <c r="B62" s="6" t="s">
        <v>310</v>
      </c>
      <c r="C62" s="196" t="s">
        <v>61</v>
      </c>
      <c r="D62" s="31"/>
      <c r="E62" s="34">
        <f>'Свод за 2021 год'!E319</f>
        <v>3</v>
      </c>
      <c r="F62" s="34">
        <f>'Свод за 2021 год'!F319</f>
        <v>3</v>
      </c>
      <c r="G62" s="131">
        <f t="shared" si="19"/>
        <v>100</v>
      </c>
      <c r="H62" s="515"/>
      <c r="I62" s="541"/>
      <c r="J62" s="541"/>
      <c r="K62" s="351" t="e">
        <f t="shared" si="4"/>
        <v>#DIV/0!</v>
      </c>
      <c r="L62" s="309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</row>
    <row r="63" spans="1:84" s="247" customFormat="1" ht="18.75">
      <c r="A63" s="348"/>
      <c r="B63" s="6" t="s">
        <v>232</v>
      </c>
      <c r="C63" s="196" t="s">
        <v>61</v>
      </c>
      <c r="D63" s="31"/>
      <c r="E63" s="34">
        <f>'Свод за 2021 год'!E320</f>
        <v>2147</v>
      </c>
      <c r="F63" s="34">
        <f>'Свод за 2021 год'!F320</f>
        <v>2147</v>
      </c>
      <c r="G63" s="131">
        <f t="shared" si="19"/>
        <v>100</v>
      </c>
      <c r="H63" s="542"/>
      <c r="I63" s="541"/>
      <c r="J63" s="541"/>
      <c r="K63" s="351" t="e">
        <f t="shared" si="4"/>
        <v>#DIV/0!</v>
      </c>
      <c r="L63" s="309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</row>
    <row r="64" spans="1:84" s="352" customFormat="1" ht="18.75">
      <c r="A64" s="348"/>
      <c r="B64" s="6" t="s">
        <v>233</v>
      </c>
      <c r="C64" s="196" t="s">
        <v>61</v>
      </c>
      <c r="D64" s="31"/>
      <c r="E64" s="34">
        <f>'Свод за 2021 год'!E321</f>
        <v>3</v>
      </c>
      <c r="F64" s="34">
        <f>'Свод за 2021 год'!F321</f>
        <v>3</v>
      </c>
      <c r="G64" s="131">
        <f t="shared" si="19"/>
        <v>100</v>
      </c>
      <c r="H64" s="542"/>
      <c r="I64" s="541"/>
      <c r="J64" s="541"/>
      <c r="K64" s="351" t="e">
        <f t="shared" si="4"/>
        <v>#DIV/0!</v>
      </c>
      <c r="L64" s="298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</row>
    <row r="65" spans="1:84" s="247" customFormat="1" ht="18.75">
      <c r="A65" s="348"/>
      <c r="B65" s="204" t="s">
        <v>234</v>
      </c>
      <c r="C65" s="438" t="s">
        <v>61</v>
      </c>
      <c r="D65" s="31">
        <f>SUM(D66:D70)</f>
        <v>0</v>
      </c>
      <c r="E65" s="221">
        <f>'Свод за 2021 год'!E322</f>
        <v>2571</v>
      </c>
      <c r="F65" s="221">
        <f>'Свод за 2021 год'!F322</f>
        <v>2571</v>
      </c>
      <c r="G65" s="131">
        <f t="shared" si="19"/>
        <v>100</v>
      </c>
      <c r="H65" s="31">
        <f>SUM(H66:H70)</f>
        <v>0</v>
      </c>
      <c r="I65" s="31">
        <f t="shared" ref="I65:J65" si="20">SUM(I66:I70)</f>
        <v>0</v>
      </c>
      <c r="J65" s="31">
        <f t="shared" si="20"/>
        <v>0</v>
      </c>
      <c r="K65" s="351" t="e">
        <f t="shared" si="4"/>
        <v>#DIV/0!</v>
      </c>
      <c r="L65" s="309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</row>
    <row r="66" spans="1:84" s="247" customFormat="1" ht="32.25">
      <c r="A66" s="348"/>
      <c r="B66" s="6" t="s">
        <v>311</v>
      </c>
      <c r="C66" s="196" t="s">
        <v>61</v>
      </c>
      <c r="D66" s="31"/>
      <c r="E66" s="34">
        <f>'Свод за 2021 год'!E323</f>
        <v>133</v>
      </c>
      <c r="F66" s="34">
        <f>'Свод за 2021 год'!F323</f>
        <v>133</v>
      </c>
      <c r="G66" s="131">
        <f t="shared" si="19"/>
        <v>100</v>
      </c>
      <c r="H66" s="515"/>
      <c r="I66" s="541"/>
      <c r="J66" s="541"/>
      <c r="K66" s="351" t="e">
        <f t="shared" si="4"/>
        <v>#DIV/0!</v>
      </c>
      <c r="L66" s="309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</row>
    <row r="67" spans="1:84" s="247" customFormat="1" ht="32.25">
      <c r="A67" s="342"/>
      <c r="B67" s="6" t="s">
        <v>312</v>
      </c>
      <c r="C67" s="196" t="s">
        <v>61</v>
      </c>
      <c r="D67" s="221"/>
      <c r="E67" s="34">
        <f>'Свод за 2021 год'!E324</f>
        <v>1</v>
      </c>
      <c r="F67" s="34">
        <f>'Свод за 2021 год'!F324</f>
        <v>1</v>
      </c>
      <c r="G67" s="540">
        <f>F67/E67*100</f>
        <v>100</v>
      </c>
      <c r="H67" s="511"/>
      <c r="I67" s="543"/>
      <c r="J67" s="543"/>
      <c r="K67" s="341" t="e">
        <f t="shared" si="4"/>
        <v>#DIV/0!</v>
      </c>
      <c r="L67" s="412"/>
      <c r="M67" s="413"/>
      <c r="N67" s="413"/>
      <c r="O67" s="413"/>
      <c r="P67" s="413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</row>
    <row r="68" spans="1:84" s="247" customFormat="1" ht="32.25">
      <c r="A68" s="348"/>
      <c r="B68" s="6" t="s">
        <v>313</v>
      </c>
      <c r="C68" s="196" t="s">
        <v>61</v>
      </c>
      <c r="D68" s="31"/>
      <c r="E68" s="34">
        <f>'Свод за 2021 год'!E325</f>
        <v>430</v>
      </c>
      <c r="F68" s="34">
        <f>'Свод за 2021 год'!F325</f>
        <v>430</v>
      </c>
      <c r="G68" s="131">
        <f t="shared" si="19"/>
        <v>100</v>
      </c>
      <c r="H68" s="515"/>
      <c r="I68" s="541"/>
      <c r="J68" s="541"/>
      <c r="K68" s="351" t="e">
        <f t="shared" si="4"/>
        <v>#DIV/0!</v>
      </c>
      <c r="L68" s="412"/>
      <c r="M68" s="413"/>
      <c r="N68" s="413"/>
      <c r="O68" s="413"/>
      <c r="P68" s="413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</row>
    <row r="69" spans="1:84" s="247" customFormat="1" ht="18.75">
      <c r="A69" s="348"/>
      <c r="B69" s="6" t="s">
        <v>235</v>
      </c>
      <c r="C69" s="196" t="s">
        <v>61</v>
      </c>
      <c r="D69" s="31"/>
      <c r="E69" s="34">
        <f>'Свод за 2021 год'!E326</f>
        <v>2003</v>
      </c>
      <c r="F69" s="34">
        <f>'Свод за 2021 год'!F326</f>
        <v>2003</v>
      </c>
      <c r="G69" s="131">
        <f t="shared" si="19"/>
        <v>100</v>
      </c>
      <c r="H69" s="515"/>
      <c r="I69" s="541"/>
      <c r="J69" s="541"/>
      <c r="K69" s="351" t="e">
        <f>J69/I69*100</f>
        <v>#DIV/0!</v>
      </c>
      <c r="L69" s="309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</row>
    <row r="70" spans="1:84" s="352" customFormat="1" ht="18.75">
      <c r="A70" s="348"/>
      <c r="B70" s="6" t="s">
        <v>314</v>
      </c>
      <c r="C70" s="196" t="s">
        <v>61</v>
      </c>
      <c r="D70" s="31"/>
      <c r="E70" s="34">
        <f>'Свод за 2021 год'!E327</f>
        <v>4</v>
      </c>
      <c r="F70" s="34">
        <f>'Свод за 2021 год'!F327</f>
        <v>4</v>
      </c>
      <c r="G70" s="131">
        <f t="shared" si="19"/>
        <v>100</v>
      </c>
      <c r="H70" s="515"/>
      <c r="I70" s="541"/>
      <c r="J70" s="541"/>
      <c r="K70" s="351" t="e">
        <f t="shared" si="4"/>
        <v>#DIV/0!</v>
      </c>
      <c r="L70" s="298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</row>
    <row r="71" spans="1:84" s="352" customFormat="1" ht="18.75">
      <c r="A71" s="356"/>
      <c r="B71" s="204" t="s">
        <v>236</v>
      </c>
      <c r="C71" s="222" t="s">
        <v>61</v>
      </c>
      <c r="D71" s="218">
        <f>SUM(D72:D77)</f>
        <v>0</v>
      </c>
      <c r="E71" s="221">
        <f>'Свод за 2021 год'!E328</f>
        <v>493</v>
      </c>
      <c r="F71" s="221">
        <f>'Свод за 2021 год'!F328</f>
        <v>493</v>
      </c>
      <c r="G71" s="544">
        <f t="shared" si="19"/>
        <v>100</v>
      </c>
      <c r="H71" s="218">
        <f>SUM(H72:H77)</f>
        <v>0</v>
      </c>
      <c r="I71" s="218">
        <f t="shared" ref="I71:J71" si="21">SUM(I72:I77)</f>
        <v>0</v>
      </c>
      <c r="J71" s="218">
        <f t="shared" si="21"/>
        <v>0</v>
      </c>
      <c r="K71" s="362" t="e">
        <f t="shared" si="4"/>
        <v>#DIV/0!</v>
      </c>
      <c r="L71" s="298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1"/>
      <c r="CC71" s="411"/>
      <c r="CD71" s="411"/>
      <c r="CE71" s="411"/>
      <c r="CF71" s="411"/>
    </row>
    <row r="72" spans="1:84" s="247" customFormat="1" ht="32.25">
      <c r="A72" s="348"/>
      <c r="B72" s="6" t="s">
        <v>307</v>
      </c>
      <c r="C72" s="196" t="s">
        <v>61</v>
      </c>
      <c r="D72" s="31"/>
      <c r="E72" s="34">
        <f>'Свод за 2021 год'!E329</f>
        <v>1</v>
      </c>
      <c r="F72" s="34">
        <f>'Свод за 2021 год'!F329</f>
        <v>1</v>
      </c>
      <c r="G72" s="131"/>
      <c r="H72" s="542"/>
      <c r="I72" s="541"/>
      <c r="J72" s="541"/>
      <c r="K72" s="351"/>
      <c r="L72" s="309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</row>
    <row r="73" spans="1:84" s="352" customFormat="1" ht="32.25">
      <c r="A73" s="348"/>
      <c r="B73" s="6" t="s">
        <v>308</v>
      </c>
      <c r="C73" s="196" t="s">
        <v>61</v>
      </c>
      <c r="D73" s="31"/>
      <c r="E73" s="34">
        <f>'Свод за 2021 год'!E330</f>
        <v>1</v>
      </c>
      <c r="F73" s="34">
        <f>'Свод за 2021 год'!F330</f>
        <v>1</v>
      </c>
      <c r="G73" s="131">
        <f t="shared" si="19"/>
        <v>100</v>
      </c>
      <c r="H73" s="542"/>
      <c r="I73" s="541"/>
      <c r="J73" s="541"/>
      <c r="K73" s="351" t="e">
        <f t="shared" si="4"/>
        <v>#DIV/0!</v>
      </c>
      <c r="L73" s="298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/>
      <c r="BX73" s="411"/>
      <c r="BY73" s="411"/>
      <c r="BZ73" s="411"/>
      <c r="CA73" s="411"/>
      <c r="CB73" s="411"/>
      <c r="CC73" s="411"/>
      <c r="CD73" s="411"/>
      <c r="CE73" s="411"/>
      <c r="CF73" s="411"/>
    </row>
    <row r="74" spans="1:84" s="247" customFormat="1" ht="32.25">
      <c r="A74" s="348"/>
      <c r="B74" s="6" t="s">
        <v>306</v>
      </c>
      <c r="C74" s="196" t="s">
        <v>61</v>
      </c>
      <c r="D74" s="31"/>
      <c r="E74" s="34">
        <f>'Свод за 2021 год'!E331</f>
        <v>396</v>
      </c>
      <c r="F74" s="34">
        <f>'Свод за 2021 год'!F331</f>
        <v>396</v>
      </c>
      <c r="G74" s="131">
        <f t="shared" si="19"/>
        <v>100</v>
      </c>
      <c r="H74" s="542"/>
      <c r="I74" s="541"/>
      <c r="J74" s="541"/>
      <c r="K74" s="351" t="e">
        <f t="shared" si="4"/>
        <v>#DIV/0!</v>
      </c>
      <c r="L74" s="309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</row>
    <row r="75" spans="1:84" s="247" customFormat="1" ht="48">
      <c r="A75" s="348"/>
      <c r="B75" s="6" t="s">
        <v>305</v>
      </c>
      <c r="C75" s="196" t="s">
        <v>61</v>
      </c>
      <c r="D75" s="31"/>
      <c r="E75" s="34">
        <f>'Свод за 2021 год'!E332</f>
        <v>1</v>
      </c>
      <c r="F75" s="34">
        <f>'Свод за 2021 год'!F332</f>
        <v>1</v>
      </c>
      <c r="G75" s="131"/>
      <c r="H75" s="542"/>
      <c r="I75" s="541"/>
      <c r="J75" s="541"/>
      <c r="K75" s="351"/>
      <c r="L75" s="309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</row>
    <row r="76" spans="1:84" s="247" customFormat="1" ht="18.75">
      <c r="A76" s="348"/>
      <c r="B76" s="6" t="s">
        <v>237</v>
      </c>
      <c r="C76" s="196" t="s">
        <v>61</v>
      </c>
      <c r="D76" s="31"/>
      <c r="E76" s="34">
        <f>'Свод за 2021 год'!E333</f>
        <v>94</v>
      </c>
      <c r="F76" s="34">
        <f>'Свод за 2021 год'!F333</f>
        <v>94</v>
      </c>
      <c r="G76" s="131">
        <f t="shared" si="19"/>
        <v>100</v>
      </c>
      <c r="H76" s="542"/>
      <c r="I76" s="545"/>
      <c r="J76" s="545"/>
      <c r="K76" s="351" t="e">
        <f t="shared" si="4"/>
        <v>#DIV/0!</v>
      </c>
      <c r="L76" s="412"/>
      <c r="M76" s="413"/>
      <c r="N76" s="413"/>
      <c r="O76" s="413"/>
      <c r="P76" s="413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</row>
    <row r="77" spans="1:84" s="247" customFormat="1" ht="48">
      <c r="A77" s="342"/>
      <c r="B77" s="6" t="s">
        <v>86</v>
      </c>
      <c r="C77" s="196" t="s">
        <v>61</v>
      </c>
      <c r="D77" s="221"/>
      <c r="E77" s="34">
        <f>'Свод за 2021 год'!E334</f>
        <v>1</v>
      </c>
      <c r="F77" s="34">
        <f>'Свод за 2021 год'!F334</f>
        <v>1</v>
      </c>
      <c r="G77" s="221">
        <f t="shared" ref="G77" si="22">G78+G79+G80+G81+G82</f>
        <v>400</v>
      </c>
      <c r="H77" s="546"/>
      <c r="I77" s="546"/>
      <c r="J77" s="546"/>
      <c r="K77" s="341" t="e">
        <f t="shared" si="4"/>
        <v>#DIV/0!</v>
      </c>
      <c r="L77" s="412"/>
      <c r="M77" s="413"/>
      <c r="N77" s="413"/>
      <c r="O77" s="413"/>
      <c r="P77" s="413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</row>
    <row r="78" spans="1:84" s="352" customFormat="1" ht="18.75">
      <c r="A78" s="356"/>
      <c r="B78" s="204" t="s">
        <v>64</v>
      </c>
      <c r="C78" s="222" t="s">
        <v>61</v>
      </c>
      <c r="D78" s="218">
        <f>D79+D83+D87+D91+D95</f>
        <v>0</v>
      </c>
      <c r="E78" s="218">
        <f>E79+E83+E87+E91+E95</f>
        <v>4585</v>
      </c>
      <c r="F78" s="218">
        <f>F79+F83+F87+F91+F95</f>
        <v>4585</v>
      </c>
      <c r="G78" s="544">
        <f t="shared" si="19"/>
        <v>100</v>
      </c>
      <c r="H78" s="547"/>
      <c r="I78" s="548"/>
      <c r="J78" s="548"/>
      <c r="K78" s="362" t="e">
        <f t="shared" si="4"/>
        <v>#DIV/0!</v>
      </c>
      <c r="L78" s="298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</row>
    <row r="79" spans="1:84" s="352" customFormat="1" ht="18.75">
      <c r="A79" s="348"/>
      <c r="B79" s="6" t="s">
        <v>66</v>
      </c>
      <c r="C79" s="196" t="s">
        <v>61</v>
      </c>
      <c r="D79" s="31"/>
      <c r="E79" s="34">
        <f>'Свод за 2021 год'!E336</f>
        <v>1734</v>
      </c>
      <c r="F79" s="34">
        <f>'Свод за 2021 год'!F336</f>
        <v>1734</v>
      </c>
      <c r="G79" s="131">
        <f t="shared" si="19"/>
        <v>100</v>
      </c>
      <c r="H79" s="542"/>
      <c r="I79" s="545"/>
      <c r="J79" s="545"/>
      <c r="K79" s="351" t="e">
        <f t="shared" si="4"/>
        <v>#DIV/0!</v>
      </c>
      <c r="L79" s="298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11"/>
    </row>
    <row r="80" spans="1:84" s="247" customFormat="1" ht="18.75">
      <c r="A80" s="348"/>
      <c r="B80" s="37" t="s">
        <v>67</v>
      </c>
      <c r="C80" s="196" t="s">
        <v>61</v>
      </c>
      <c r="D80" s="31"/>
      <c r="E80" s="34">
        <f>'Свод за 2021 год'!E337</f>
        <v>781</v>
      </c>
      <c r="F80" s="34">
        <f>'Свод за 2021 год'!F337</f>
        <v>781</v>
      </c>
      <c r="G80" s="131">
        <f t="shared" si="19"/>
        <v>100</v>
      </c>
      <c r="H80" s="515"/>
      <c r="I80" s="541"/>
      <c r="J80" s="541"/>
      <c r="K80" s="351" t="e">
        <f t="shared" si="4"/>
        <v>#DIV/0!</v>
      </c>
      <c r="L80" s="309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</row>
    <row r="81" spans="1:84" s="247" customFormat="1" ht="18.75">
      <c r="A81" s="348"/>
      <c r="B81" s="37" t="s">
        <v>68</v>
      </c>
      <c r="C81" s="196" t="s">
        <v>61</v>
      </c>
      <c r="D81" s="31"/>
      <c r="E81" s="34">
        <f>'Свод за 2021 год'!E338</f>
        <v>837</v>
      </c>
      <c r="F81" s="34">
        <f>'Свод за 2021 год'!F338</f>
        <v>837</v>
      </c>
      <c r="G81" s="131">
        <v>0</v>
      </c>
      <c r="H81" s="542"/>
      <c r="I81" s="545"/>
      <c r="J81" s="545"/>
      <c r="K81" s="351">
        <v>0</v>
      </c>
      <c r="L81" s="309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</row>
    <row r="82" spans="1:84" s="352" customFormat="1" ht="18.75">
      <c r="A82" s="348"/>
      <c r="B82" s="37" t="s">
        <v>69</v>
      </c>
      <c r="C82" s="196" t="s">
        <v>61</v>
      </c>
      <c r="D82" s="31"/>
      <c r="E82" s="34">
        <f>'Свод за 2021 год'!E339</f>
        <v>116</v>
      </c>
      <c r="F82" s="34">
        <f>'Свод за 2021 год'!F339</f>
        <v>116</v>
      </c>
      <c r="G82" s="131">
        <f t="shared" si="19"/>
        <v>100</v>
      </c>
      <c r="H82" s="542"/>
      <c r="I82" s="545"/>
      <c r="J82" s="545"/>
      <c r="K82" s="351" t="e">
        <f t="shared" si="4"/>
        <v>#DIV/0!</v>
      </c>
      <c r="L82" s="298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411"/>
      <c r="BW82" s="411"/>
      <c r="BX82" s="411"/>
      <c r="BY82" s="411"/>
      <c r="BZ82" s="411"/>
      <c r="CA82" s="411"/>
      <c r="CB82" s="411"/>
      <c r="CC82" s="411"/>
      <c r="CD82" s="411"/>
      <c r="CE82" s="411"/>
      <c r="CF82" s="411"/>
    </row>
    <row r="83" spans="1:84" s="247" customFormat="1" ht="32.25">
      <c r="A83" s="348"/>
      <c r="B83" s="6" t="s">
        <v>71</v>
      </c>
      <c r="C83" s="196" t="s">
        <v>61</v>
      </c>
      <c r="D83" s="31"/>
      <c r="E83" s="34">
        <f>'Свод за 2021 год'!E340</f>
        <v>6</v>
      </c>
      <c r="F83" s="34">
        <f>'Свод за 2021 год'!F340</f>
        <v>6</v>
      </c>
      <c r="G83" s="131">
        <f t="shared" si="19"/>
        <v>100</v>
      </c>
      <c r="H83" s="542"/>
      <c r="I83" s="545"/>
      <c r="J83" s="545"/>
      <c r="K83" s="351" t="e">
        <f t="shared" si="4"/>
        <v>#DIV/0!</v>
      </c>
      <c r="L83" s="309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</row>
    <row r="84" spans="1:84" s="247" customFormat="1" ht="18.75">
      <c r="A84" s="356"/>
      <c r="B84" s="37" t="s">
        <v>67</v>
      </c>
      <c r="C84" s="196" t="s">
        <v>61</v>
      </c>
      <c r="D84" s="221"/>
      <c r="E84" s="34">
        <f>'Свод за 2021 год'!E341</f>
        <v>4</v>
      </c>
      <c r="F84" s="34">
        <f>'Свод за 2021 год'!F341</f>
        <v>4</v>
      </c>
      <c r="G84" s="221" t="e">
        <f t="shared" ref="G84:K84" si="23">G85+G89+G93+G97</f>
        <v>#DIV/0!</v>
      </c>
      <c r="H84" s="546"/>
      <c r="I84" s="549"/>
      <c r="J84" s="549"/>
      <c r="K84" s="357" t="e">
        <f t="shared" si="23"/>
        <v>#DIV/0!</v>
      </c>
      <c r="L84" s="309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</row>
    <row r="85" spans="1:84" s="247" customFormat="1" ht="18.75">
      <c r="A85" s="348"/>
      <c r="B85" s="37" t="s">
        <v>68</v>
      </c>
      <c r="C85" s="196" t="s">
        <v>61</v>
      </c>
      <c r="D85" s="31"/>
      <c r="E85" s="34">
        <f>'Свод за 2021 год'!E342</f>
        <v>1</v>
      </c>
      <c r="F85" s="34">
        <f>'Свод за 2021 год'!F342</f>
        <v>1</v>
      </c>
      <c r="G85" s="131">
        <f t="shared" si="19"/>
        <v>100</v>
      </c>
      <c r="H85" s="515"/>
      <c r="I85" s="541"/>
      <c r="J85" s="541"/>
      <c r="K85" s="351" t="e">
        <f t="shared" ref="K85:K106" si="24">J85/I85*100</f>
        <v>#DIV/0!</v>
      </c>
      <c r="L85" s="412"/>
      <c r="M85" s="413"/>
      <c r="N85" s="413"/>
      <c r="O85" s="413"/>
      <c r="P85" s="413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</row>
    <row r="86" spans="1:84" s="247" customFormat="1" ht="18.75">
      <c r="A86" s="348"/>
      <c r="B86" s="37" t="s">
        <v>69</v>
      </c>
      <c r="C86" s="196" t="s">
        <v>61</v>
      </c>
      <c r="D86" s="31"/>
      <c r="E86" s="34">
        <f>'Свод за 2021 год'!E343</f>
        <v>1</v>
      </c>
      <c r="F86" s="34">
        <f>'Свод за 2021 год'!F343</f>
        <v>1</v>
      </c>
      <c r="G86" s="131">
        <f t="shared" si="19"/>
        <v>100</v>
      </c>
      <c r="H86" s="515"/>
      <c r="I86" s="541"/>
      <c r="J86" s="541"/>
      <c r="K86" s="351" t="e">
        <f t="shared" si="24"/>
        <v>#DIV/0!</v>
      </c>
      <c r="L86" s="412"/>
      <c r="M86" s="413"/>
      <c r="N86" s="413"/>
      <c r="O86" s="413"/>
      <c r="P86" s="413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</row>
    <row r="87" spans="1:84" s="247" customFormat="1" ht="48">
      <c r="A87" s="348"/>
      <c r="B87" s="6" t="s">
        <v>73</v>
      </c>
      <c r="C87" s="196" t="s">
        <v>61</v>
      </c>
      <c r="D87" s="31"/>
      <c r="E87" s="34">
        <f>'Свод за 2021 год'!E344</f>
        <v>1308</v>
      </c>
      <c r="F87" s="34">
        <f>'Свод за 2021 год'!F344</f>
        <v>1308</v>
      </c>
      <c r="G87" s="131">
        <f t="shared" si="19"/>
        <v>100</v>
      </c>
      <c r="H87" s="515"/>
      <c r="I87" s="541"/>
      <c r="J87" s="541"/>
      <c r="K87" s="351" t="e">
        <f t="shared" si="24"/>
        <v>#DIV/0!</v>
      </c>
      <c r="L87" s="309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</row>
    <row r="88" spans="1:84" s="352" customFormat="1" ht="18.75">
      <c r="A88" s="348"/>
      <c r="B88" s="37" t="s">
        <v>67</v>
      </c>
      <c r="C88" s="196" t="s">
        <v>61</v>
      </c>
      <c r="D88" s="31"/>
      <c r="E88" s="34">
        <f>'Свод за 2021 год'!E345</f>
        <v>0</v>
      </c>
      <c r="F88" s="34">
        <f>'Свод за 2021 год'!F345</f>
        <v>0</v>
      </c>
      <c r="G88" s="131" t="e">
        <f t="shared" si="19"/>
        <v>#DIV/0!</v>
      </c>
      <c r="H88" s="515"/>
      <c r="I88" s="541"/>
      <c r="J88" s="541"/>
      <c r="K88" s="351" t="e">
        <f t="shared" si="24"/>
        <v>#DIV/0!</v>
      </c>
      <c r="L88" s="298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</row>
    <row r="89" spans="1:84" s="247" customFormat="1" ht="18.75">
      <c r="A89" s="348"/>
      <c r="B89" s="37" t="s">
        <v>68</v>
      </c>
      <c r="C89" s="196" t="s">
        <v>61</v>
      </c>
      <c r="D89" s="31"/>
      <c r="E89" s="34">
        <f>'Свод за 2021 год'!E346</f>
        <v>1120</v>
      </c>
      <c r="F89" s="34">
        <f>'Свод за 2021 год'!F346</f>
        <v>1120</v>
      </c>
      <c r="G89" s="131">
        <f t="shared" si="19"/>
        <v>100</v>
      </c>
      <c r="H89" s="542"/>
      <c r="I89" s="545"/>
      <c r="J89" s="545"/>
      <c r="K89" s="351" t="e">
        <f t="shared" si="24"/>
        <v>#DIV/0!</v>
      </c>
      <c r="L89" s="309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</row>
    <row r="90" spans="1:84" s="247" customFormat="1" ht="18.75">
      <c r="A90" s="348"/>
      <c r="B90" s="37" t="s">
        <v>69</v>
      </c>
      <c r="C90" s="196" t="s">
        <v>61</v>
      </c>
      <c r="D90" s="31"/>
      <c r="E90" s="34">
        <f>'Свод за 2021 год'!E347</f>
        <v>188</v>
      </c>
      <c r="F90" s="34">
        <f>'Свод за 2021 год'!F347</f>
        <v>188</v>
      </c>
      <c r="G90" s="131">
        <v>0</v>
      </c>
      <c r="H90" s="542"/>
      <c r="I90" s="541"/>
      <c r="J90" s="541"/>
      <c r="K90" s="351" t="e">
        <f t="shared" si="24"/>
        <v>#DIV/0!</v>
      </c>
      <c r="L90" s="309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</row>
    <row r="91" spans="1:84" s="352" customFormat="1" ht="32.25">
      <c r="A91" s="348"/>
      <c r="B91" s="6" t="s">
        <v>75</v>
      </c>
      <c r="C91" s="196" t="s">
        <v>61</v>
      </c>
      <c r="D91" s="31"/>
      <c r="E91" s="34">
        <f>'Свод за 2021 год'!E348</f>
        <v>1478</v>
      </c>
      <c r="F91" s="34">
        <f>'Свод за 2021 год'!F348</f>
        <v>1478</v>
      </c>
      <c r="G91" s="131">
        <f t="shared" si="19"/>
        <v>100</v>
      </c>
      <c r="H91" s="515"/>
      <c r="I91" s="541"/>
      <c r="J91" s="541"/>
      <c r="K91" s="351" t="e">
        <f t="shared" si="24"/>
        <v>#DIV/0!</v>
      </c>
      <c r="L91" s="298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</row>
    <row r="92" spans="1:84" s="247" customFormat="1" ht="18.75">
      <c r="A92" s="348"/>
      <c r="B92" s="37" t="s">
        <v>67</v>
      </c>
      <c r="C92" s="196" t="s">
        <v>61</v>
      </c>
      <c r="D92" s="31"/>
      <c r="E92" s="34">
        <f>'Свод за 2021 год'!E349</f>
        <v>1478</v>
      </c>
      <c r="F92" s="34">
        <f>'Свод за 2021 год'!F349</f>
        <v>1478</v>
      </c>
      <c r="G92" s="131">
        <f t="shared" si="19"/>
        <v>100</v>
      </c>
      <c r="H92" s="515"/>
      <c r="I92" s="541"/>
      <c r="J92" s="541"/>
      <c r="K92" s="351" t="e">
        <f t="shared" si="24"/>
        <v>#DIV/0!</v>
      </c>
      <c r="L92" s="309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</row>
    <row r="93" spans="1:84" s="247" customFormat="1" ht="18.75">
      <c r="A93" s="348"/>
      <c r="B93" s="37" t="s">
        <v>68</v>
      </c>
      <c r="C93" s="196" t="s">
        <v>61</v>
      </c>
      <c r="D93" s="31"/>
      <c r="E93" s="34">
        <f>'Свод за 2021 год'!E350</f>
        <v>0</v>
      </c>
      <c r="F93" s="34">
        <f>'Свод за 2021 год'!F350</f>
        <v>0</v>
      </c>
      <c r="G93" s="131" t="e">
        <f t="shared" si="19"/>
        <v>#DIV/0!</v>
      </c>
      <c r="H93" s="542"/>
      <c r="I93" s="545"/>
      <c r="J93" s="545"/>
      <c r="K93" s="351" t="e">
        <f t="shared" si="24"/>
        <v>#DIV/0!</v>
      </c>
      <c r="L93" s="309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</row>
    <row r="94" spans="1:84" s="247" customFormat="1" ht="18.75">
      <c r="A94" s="348"/>
      <c r="B94" s="37" t="s">
        <v>69</v>
      </c>
      <c r="C94" s="196" t="s">
        <v>61</v>
      </c>
      <c r="D94" s="31"/>
      <c r="E94" s="34">
        <f>'Свод за 2021 год'!E351</f>
        <v>0</v>
      </c>
      <c r="F94" s="34">
        <f>'Свод за 2021 год'!F351</f>
        <v>0</v>
      </c>
      <c r="G94" s="131" t="e">
        <f t="shared" si="19"/>
        <v>#DIV/0!</v>
      </c>
      <c r="H94" s="515"/>
      <c r="I94" s="541"/>
      <c r="J94" s="541"/>
      <c r="K94" s="351" t="e">
        <f t="shared" si="24"/>
        <v>#DIV/0!</v>
      </c>
      <c r="L94" s="412"/>
      <c r="M94" s="413"/>
      <c r="N94" s="413"/>
      <c r="O94" s="413"/>
      <c r="P94" s="413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</row>
    <row r="95" spans="1:84" s="247" customFormat="1" ht="48">
      <c r="A95" s="348"/>
      <c r="B95" s="6" t="s">
        <v>84</v>
      </c>
      <c r="C95" s="196" t="s">
        <v>61</v>
      </c>
      <c r="D95" s="31"/>
      <c r="E95" s="34">
        <f>'Свод за 2021 год'!E352</f>
        <v>59</v>
      </c>
      <c r="F95" s="34">
        <f>'Свод за 2021 год'!F352</f>
        <v>59</v>
      </c>
      <c r="G95" s="131">
        <f t="shared" si="19"/>
        <v>100</v>
      </c>
      <c r="H95" s="515"/>
      <c r="I95" s="541"/>
      <c r="J95" s="541"/>
      <c r="K95" s="351" t="e">
        <f t="shared" si="24"/>
        <v>#DIV/0!</v>
      </c>
      <c r="L95" s="412"/>
      <c r="M95" s="413"/>
      <c r="N95" s="413"/>
      <c r="O95" s="413"/>
      <c r="P95" s="413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</row>
    <row r="96" spans="1:84" s="247" customFormat="1" ht="18.75">
      <c r="A96" s="348"/>
      <c r="B96" s="37" t="s">
        <v>67</v>
      </c>
      <c r="C96" s="196" t="s">
        <v>61</v>
      </c>
      <c r="D96" s="31"/>
      <c r="E96" s="34">
        <f>'Свод за 2021 год'!E353</f>
        <v>0</v>
      </c>
      <c r="F96" s="34">
        <f>'Свод за 2021 год'!F353</f>
        <v>0</v>
      </c>
      <c r="G96" s="131" t="e">
        <f t="shared" si="19"/>
        <v>#DIV/0!</v>
      </c>
      <c r="H96" s="515"/>
      <c r="I96" s="541"/>
      <c r="J96" s="541"/>
      <c r="K96" s="351" t="e">
        <f t="shared" si="24"/>
        <v>#DIV/0!</v>
      </c>
      <c r="L96" s="309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07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</row>
    <row r="97" spans="1:84" s="352" customFormat="1" ht="18.75">
      <c r="A97" s="348"/>
      <c r="B97" s="37" t="s">
        <v>68</v>
      </c>
      <c r="C97" s="196" t="s">
        <v>61</v>
      </c>
      <c r="D97" s="31"/>
      <c r="E97" s="34">
        <f>'Свод за 2021 год'!E354</f>
        <v>53</v>
      </c>
      <c r="F97" s="34">
        <f>'Свод за 2021 год'!F354</f>
        <v>53</v>
      </c>
      <c r="G97" s="131">
        <f t="shared" si="19"/>
        <v>100</v>
      </c>
      <c r="H97" s="515"/>
      <c r="I97" s="541"/>
      <c r="J97" s="541"/>
      <c r="K97" s="351" t="e">
        <f t="shared" si="24"/>
        <v>#DIV/0!</v>
      </c>
      <c r="L97" s="298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1"/>
      <c r="BK97" s="411"/>
      <c r="BL97" s="411"/>
      <c r="BM97" s="411"/>
      <c r="BN97" s="411"/>
      <c r="BO97" s="411"/>
      <c r="BP97" s="411"/>
      <c r="BQ97" s="411"/>
      <c r="BR97" s="411"/>
      <c r="BS97" s="411"/>
      <c r="BT97" s="411"/>
      <c r="BU97" s="411"/>
      <c r="BV97" s="411"/>
      <c r="BW97" s="411"/>
      <c r="BX97" s="411"/>
      <c r="BY97" s="411"/>
      <c r="BZ97" s="411"/>
      <c r="CA97" s="411"/>
      <c r="CB97" s="411"/>
      <c r="CC97" s="411"/>
      <c r="CD97" s="411"/>
      <c r="CE97" s="411"/>
      <c r="CF97" s="411"/>
    </row>
    <row r="98" spans="1:84" s="247" customFormat="1" ht="18.75">
      <c r="A98" s="348"/>
      <c r="B98" s="37" t="s">
        <v>69</v>
      </c>
      <c r="C98" s="196" t="s">
        <v>61</v>
      </c>
      <c r="D98" s="31"/>
      <c r="E98" s="34">
        <f>'Свод за 2021 год'!E355</f>
        <v>6</v>
      </c>
      <c r="F98" s="34">
        <f>'Свод за 2021 год'!F355</f>
        <v>6</v>
      </c>
      <c r="G98" s="131">
        <f t="shared" si="19"/>
        <v>100</v>
      </c>
      <c r="H98" s="515"/>
      <c r="I98" s="541"/>
      <c r="J98" s="541"/>
      <c r="K98" s="351" t="e">
        <f t="shared" si="24"/>
        <v>#DIV/0!</v>
      </c>
      <c r="L98" s="309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</row>
    <row r="99" spans="1:84" s="427" customFormat="1" ht="18.75">
      <c r="A99" s="424"/>
      <c r="B99" s="423" t="s">
        <v>31</v>
      </c>
      <c r="C99" s="533" t="s">
        <v>76</v>
      </c>
      <c r="D99" s="550">
        <f>D100</f>
        <v>0</v>
      </c>
      <c r="E99" s="550">
        <f>'Свод за 2021 год'!E356</f>
        <v>1725</v>
      </c>
      <c r="F99" s="550">
        <f>'Свод за 2021 год'!F356</f>
        <v>1725</v>
      </c>
      <c r="G99" s="551">
        <f t="shared" si="19"/>
        <v>100</v>
      </c>
      <c r="H99" s="552"/>
      <c r="I99" s="552"/>
      <c r="J99" s="552"/>
      <c r="K99" s="430" t="e">
        <f t="shared" si="24"/>
        <v>#DIV/0!</v>
      </c>
      <c r="L99" s="425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</row>
    <row r="100" spans="1:84" s="506" customFormat="1" ht="19.5">
      <c r="A100" s="501"/>
      <c r="B100" s="502" t="s">
        <v>142</v>
      </c>
      <c r="C100" s="534" t="s">
        <v>76</v>
      </c>
      <c r="D100" s="124"/>
      <c r="E100" s="124">
        <f>'Свод за 2021 год'!E357</f>
        <v>1725</v>
      </c>
      <c r="F100" s="124">
        <f>'Свод за 2021 год'!F357</f>
        <v>1725</v>
      </c>
      <c r="G100" s="553">
        <f t="shared" si="19"/>
        <v>100</v>
      </c>
      <c r="H100" s="554"/>
      <c r="I100" s="554"/>
      <c r="J100" s="554"/>
      <c r="K100" s="503" t="e">
        <f t="shared" si="24"/>
        <v>#DIV/0!</v>
      </c>
      <c r="L100" s="504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5"/>
      <c r="AU100" s="505"/>
      <c r="AV100" s="505"/>
      <c r="AW100" s="505"/>
      <c r="AX100" s="505"/>
      <c r="AY100" s="505"/>
      <c r="AZ100" s="505"/>
      <c r="BA100" s="505"/>
      <c r="BB100" s="505"/>
      <c r="BC100" s="505"/>
      <c r="BD100" s="505"/>
      <c r="BE100" s="505"/>
      <c r="BF100" s="505"/>
      <c r="BG100" s="505"/>
      <c r="BH100" s="505"/>
      <c r="BI100" s="505"/>
      <c r="BJ100" s="505"/>
      <c r="BK100" s="505"/>
      <c r="BL100" s="505"/>
      <c r="BM100" s="505"/>
      <c r="BN100" s="505"/>
      <c r="BO100" s="505"/>
      <c r="BP100" s="505"/>
      <c r="BQ100" s="505"/>
      <c r="BR100" s="505"/>
      <c r="BS100" s="505"/>
      <c r="BT100" s="505"/>
      <c r="BU100" s="505"/>
      <c r="BV100" s="505"/>
      <c r="BW100" s="505"/>
      <c r="BX100" s="505"/>
      <c r="BY100" s="505"/>
      <c r="BZ100" s="505"/>
      <c r="CA100" s="505"/>
      <c r="CB100" s="505"/>
      <c r="CC100" s="505"/>
      <c r="CD100" s="505"/>
      <c r="CE100" s="505"/>
      <c r="CF100" s="505"/>
    </row>
    <row r="101" spans="1:84" s="352" customFormat="1" ht="18.75">
      <c r="A101" s="356"/>
      <c r="B101" s="144" t="s">
        <v>78</v>
      </c>
      <c r="C101" s="145" t="s">
        <v>5</v>
      </c>
      <c r="D101" s="221">
        <f>D102</f>
        <v>0</v>
      </c>
      <c r="E101" s="221">
        <f>'Свод за 2021 год'!E358</f>
        <v>5283</v>
      </c>
      <c r="F101" s="221">
        <f>'Свод за 2021 год'!F358</f>
        <v>5283</v>
      </c>
      <c r="G101" s="540">
        <f t="shared" si="19"/>
        <v>100</v>
      </c>
      <c r="H101" s="555"/>
      <c r="I101" s="556"/>
      <c r="J101" s="556"/>
      <c r="K101" s="341" t="e">
        <f t="shared" si="24"/>
        <v>#DIV/0!</v>
      </c>
      <c r="L101" s="298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</row>
    <row r="102" spans="1:84" s="433" customFormat="1" ht="19.5">
      <c r="A102" s="348"/>
      <c r="B102" s="149" t="s">
        <v>79</v>
      </c>
      <c r="C102" s="185" t="s">
        <v>5</v>
      </c>
      <c r="D102" s="31"/>
      <c r="E102" s="31">
        <f>'Свод за 2021 год'!E359</f>
        <v>5283</v>
      </c>
      <c r="F102" s="31">
        <f>'Свод за 2021 год'!F359</f>
        <v>5283</v>
      </c>
      <c r="G102" s="131">
        <f t="shared" si="19"/>
        <v>100</v>
      </c>
      <c r="H102" s="542"/>
      <c r="I102" s="545"/>
      <c r="J102" s="545"/>
      <c r="K102" s="351" t="e">
        <f t="shared" si="24"/>
        <v>#DIV/0!</v>
      </c>
      <c r="L102" s="431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32"/>
      <c r="AW102" s="432"/>
      <c r="AX102" s="432"/>
      <c r="AY102" s="432"/>
      <c r="AZ102" s="432"/>
      <c r="BA102" s="432"/>
      <c r="BB102" s="432"/>
      <c r="BC102" s="432"/>
      <c r="BD102" s="432"/>
      <c r="BE102" s="432"/>
      <c r="BF102" s="432"/>
      <c r="BG102" s="432"/>
      <c r="BH102" s="432"/>
      <c r="BI102" s="432"/>
      <c r="BJ102" s="432"/>
      <c r="BK102" s="432"/>
      <c r="BL102" s="432"/>
      <c r="BM102" s="432"/>
      <c r="BN102" s="432"/>
      <c r="BO102" s="432"/>
      <c r="BP102" s="432"/>
      <c r="BQ102" s="432"/>
      <c r="BR102" s="432"/>
      <c r="BS102" s="432"/>
      <c r="BT102" s="432"/>
      <c r="BU102" s="432"/>
      <c r="BV102" s="432"/>
      <c r="BW102" s="432"/>
      <c r="BX102" s="432"/>
      <c r="BY102" s="432"/>
      <c r="BZ102" s="432"/>
      <c r="CA102" s="432"/>
      <c r="CB102" s="432"/>
      <c r="CC102" s="432"/>
      <c r="CD102" s="432"/>
      <c r="CE102" s="432"/>
      <c r="CF102" s="432"/>
    </row>
    <row r="103" spans="1:84" s="494" customFormat="1" ht="18.75">
      <c r="A103" s="489"/>
      <c r="B103" s="490" t="s">
        <v>292</v>
      </c>
      <c r="C103" s="535"/>
      <c r="D103" s="557">
        <f>D104+D108</f>
        <v>0</v>
      </c>
      <c r="E103" s="557">
        <f>'Свод за 2021 год'!E449</f>
        <v>5114</v>
      </c>
      <c r="F103" s="557">
        <f>'Свод за 2021 год'!F449</f>
        <v>5100</v>
      </c>
      <c r="G103" s="558">
        <f t="shared" si="19"/>
        <v>99.726241689479849</v>
      </c>
      <c r="H103" s="557">
        <f>H104+H108</f>
        <v>0</v>
      </c>
      <c r="I103" s="557">
        <f t="shared" ref="I103:J103" si="25">I104+I108</f>
        <v>0</v>
      </c>
      <c r="J103" s="557">
        <f t="shared" si="25"/>
        <v>0</v>
      </c>
      <c r="K103" s="491" t="e">
        <f t="shared" si="24"/>
        <v>#DIV/0!</v>
      </c>
      <c r="L103" s="492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3"/>
      <c r="AM103" s="493"/>
      <c r="AN103" s="493"/>
      <c r="AO103" s="493"/>
      <c r="AP103" s="493"/>
      <c r="AQ103" s="493"/>
      <c r="AR103" s="493"/>
      <c r="AS103" s="493"/>
      <c r="AT103" s="493"/>
      <c r="AU103" s="493"/>
      <c r="AV103" s="493"/>
      <c r="AW103" s="493"/>
      <c r="AX103" s="493"/>
      <c r="AY103" s="493"/>
      <c r="AZ103" s="493"/>
      <c r="BA103" s="493"/>
      <c r="BB103" s="493"/>
      <c r="BC103" s="493"/>
      <c r="BD103" s="493"/>
      <c r="BE103" s="493"/>
      <c r="BF103" s="493"/>
      <c r="BG103" s="493"/>
      <c r="BH103" s="493"/>
      <c r="BI103" s="493"/>
      <c r="BJ103" s="493"/>
      <c r="BK103" s="493"/>
      <c r="BL103" s="493"/>
      <c r="BM103" s="493"/>
      <c r="BN103" s="493"/>
      <c r="BO103" s="493"/>
      <c r="BP103" s="493"/>
      <c r="BQ103" s="493"/>
      <c r="BR103" s="493"/>
      <c r="BS103" s="493"/>
      <c r="BT103" s="493"/>
      <c r="BU103" s="493"/>
      <c r="BV103" s="493"/>
      <c r="BW103" s="493"/>
      <c r="BX103" s="493"/>
      <c r="BY103" s="493"/>
      <c r="BZ103" s="493"/>
      <c r="CA103" s="493"/>
      <c r="CB103" s="493"/>
      <c r="CC103" s="493"/>
      <c r="CD103" s="493"/>
      <c r="CE103" s="493"/>
      <c r="CF103" s="493"/>
    </row>
    <row r="104" spans="1:84" s="352" customFormat="1" ht="18.75">
      <c r="A104" s="143" t="s">
        <v>4</v>
      </c>
      <c r="B104" s="144" t="s">
        <v>89</v>
      </c>
      <c r="C104" s="145" t="s">
        <v>90</v>
      </c>
      <c r="D104" s="218">
        <f>D105+D106+D107</f>
        <v>0</v>
      </c>
      <c r="E104" s="221">
        <f>'Свод за 2021 год'!E450</f>
        <v>2557</v>
      </c>
      <c r="F104" s="221">
        <f>'Свод за 2021 год'!F450</f>
        <v>2550</v>
      </c>
      <c r="G104" s="544">
        <f t="shared" si="19"/>
        <v>99.726241689479849</v>
      </c>
      <c r="H104" s="218">
        <f>H105+H106+H107</f>
        <v>0</v>
      </c>
      <c r="I104" s="218">
        <f t="shared" ref="I104:J104" si="26">I105+I106+I107</f>
        <v>0</v>
      </c>
      <c r="J104" s="218">
        <f t="shared" si="26"/>
        <v>0</v>
      </c>
      <c r="K104" s="362" t="e">
        <f t="shared" si="24"/>
        <v>#DIV/0!</v>
      </c>
      <c r="L104" s="298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411"/>
      <c r="BU104" s="411"/>
      <c r="BV104" s="411"/>
      <c r="BW104" s="411"/>
      <c r="BX104" s="411"/>
      <c r="BY104" s="411"/>
      <c r="BZ104" s="411"/>
      <c r="CA104" s="411"/>
      <c r="CB104" s="411"/>
      <c r="CC104" s="411"/>
      <c r="CD104" s="411"/>
      <c r="CE104" s="411"/>
      <c r="CF104" s="411"/>
    </row>
    <row r="105" spans="1:84" s="352" customFormat="1" ht="18.75">
      <c r="A105" s="148" t="s">
        <v>26</v>
      </c>
      <c r="B105" s="149" t="s">
        <v>91</v>
      </c>
      <c r="C105" s="185" t="s">
        <v>90</v>
      </c>
      <c r="D105" s="31"/>
      <c r="E105" s="31">
        <f>'Свод за 2021 год'!E451</f>
        <v>2503</v>
      </c>
      <c r="F105" s="31">
        <f>'Свод за 2021 год'!F451</f>
        <v>2494</v>
      </c>
      <c r="G105" s="559">
        <f t="shared" si="19"/>
        <v>99.640431482221331</v>
      </c>
      <c r="H105" s="542"/>
      <c r="I105" s="541"/>
      <c r="J105" s="541"/>
      <c r="K105" s="351" t="e">
        <f t="shared" si="24"/>
        <v>#DIV/0!</v>
      </c>
      <c r="L105" s="298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/>
      <c r="AS105" s="411"/>
      <c r="AT105" s="411"/>
      <c r="AU105" s="411"/>
      <c r="AV105" s="411"/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1"/>
      <c r="BH105" s="411"/>
      <c r="BI105" s="411"/>
      <c r="BJ105" s="411"/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1"/>
      <c r="BW105" s="411"/>
      <c r="BX105" s="411"/>
      <c r="BY105" s="411"/>
      <c r="BZ105" s="411"/>
      <c r="CA105" s="411"/>
      <c r="CB105" s="411"/>
      <c r="CC105" s="411"/>
      <c r="CD105" s="411"/>
      <c r="CE105" s="411"/>
      <c r="CF105" s="411"/>
    </row>
    <row r="106" spans="1:84" s="352" customFormat="1" ht="18.75">
      <c r="A106" s="148" t="s">
        <v>27</v>
      </c>
      <c r="B106" s="149" t="s">
        <v>92</v>
      </c>
      <c r="C106" s="185" t="s">
        <v>90</v>
      </c>
      <c r="D106" s="31"/>
      <c r="E106" s="31">
        <f>'Свод за 2021 год'!E452</f>
        <v>35</v>
      </c>
      <c r="F106" s="31">
        <f>'Свод за 2021 год'!F452</f>
        <v>36</v>
      </c>
      <c r="G106" s="559">
        <f t="shared" si="19"/>
        <v>102.85714285714285</v>
      </c>
      <c r="H106" s="542"/>
      <c r="I106" s="541"/>
      <c r="J106" s="541"/>
      <c r="K106" s="351" t="e">
        <f t="shared" si="24"/>
        <v>#DIV/0!</v>
      </c>
      <c r="L106" s="298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1"/>
      <c r="AQ106" s="411"/>
      <c r="AR106" s="411"/>
      <c r="AS106" s="411"/>
      <c r="AT106" s="411"/>
      <c r="AU106" s="411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/>
      <c r="BI106" s="411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1"/>
      <c r="BW106" s="411"/>
      <c r="BX106" s="411"/>
      <c r="BY106" s="411"/>
      <c r="BZ106" s="411"/>
      <c r="CA106" s="411"/>
      <c r="CB106" s="411"/>
      <c r="CC106" s="411"/>
      <c r="CD106" s="411"/>
      <c r="CE106" s="411"/>
      <c r="CF106" s="411"/>
    </row>
    <row r="107" spans="1:84" s="368" customFormat="1" ht="18.75">
      <c r="A107" s="148" t="s">
        <v>28</v>
      </c>
      <c r="B107" s="149" t="s">
        <v>94</v>
      </c>
      <c r="C107" s="185" t="s">
        <v>90</v>
      </c>
      <c r="D107" s="560"/>
      <c r="E107" s="31">
        <f>'Свод за 2021 год'!E453</f>
        <v>19</v>
      </c>
      <c r="F107" s="31">
        <f>'Свод за 2021 год'!F453</f>
        <v>20</v>
      </c>
      <c r="G107" s="559">
        <f>F107/E107*100</f>
        <v>105.26315789473684</v>
      </c>
      <c r="H107" s="561"/>
      <c r="I107" s="561"/>
      <c r="J107" s="561"/>
      <c r="K107" s="434" t="e">
        <f>J107/I107*100</f>
        <v>#DIV/0!</v>
      </c>
      <c r="L107" s="414"/>
      <c r="M107" s="415"/>
      <c r="N107" s="415"/>
      <c r="O107" s="415"/>
      <c r="P107" s="415"/>
      <c r="Q107" s="415"/>
      <c r="R107" s="415"/>
      <c r="S107" s="415"/>
      <c r="T107" s="415"/>
      <c r="U107" s="415"/>
      <c r="V107" s="415"/>
      <c r="W107" s="415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415"/>
      <c r="AH107" s="415"/>
      <c r="AI107" s="415"/>
      <c r="AJ107" s="415"/>
      <c r="AK107" s="415"/>
      <c r="AL107" s="415"/>
      <c r="AM107" s="415"/>
      <c r="AN107" s="415"/>
      <c r="AO107" s="415"/>
      <c r="AP107" s="415"/>
      <c r="AQ107" s="415"/>
      <c r="AR107" s="415"/>
      <c r="AS107" s="415"/>
      <c r="AT107" s="415"/>
      <c r="AU107" s="415"/>
      <c r="AV107" s="415"/>
      <c r="AW107" s="415"/>
      <c r="AX107" s="415"/>
      <c r="AY107" s="415"/>
      <c r="AZ107" s="415"/>
      <c r="BA107" s="415"/>
      <c r="BB107" s="415"/>
      <c r="BC107" s="415"/>
      <c r="BD107" s="415"/>
      <c r="BE107" s="415"/>
      <c r="BF107" s="415"/>
      <c r="BG107" s="415"/>
      <c r="BH107" s="415"/>
      <c r="BI107" s="415"/>
      <c r="BJ107" s="415"/>
      <c r="BK107" s="415"/>
      <c r="BL107" s="415"/>
      <c r="BM107" s="415"/>
      <c r="BN107" s="415"/>
      <c r="BO107" s="415"/>
      <c r="BP107" s="415"/>
      <c r="BQ107" s="415"/>
      <c r="BR107" s="415"/>
      <c r="BS107" s="415"/>
      <c r="BT107" s="415"/>
      <c r="BU107" s="415"/>
      <c r="BV107" s="415"/>
      <c r="BW107" s="415"/>
      <c r="BX107" s="415"/>
      <c r="BY107" s="415"/>
      <c r="BZ107" s="415"/>
      <c r="CA107" s="415"/>
      <c r="CB107" s="415"/>
      <c r="CC107" s="415"/>
      <c r="CD107" s="415"/>
      <c r="CE107" s="415"/>
      <c r="CF107" s="415"/>
    </row>
    <row r="108" spans="1:84" s="368" customFormat="1" ht="18.75">
      <c r="A108" s="143" t="s">
        <v>95</v>
      </c>
      <c r="B108" s="144" t="s">
        <v>96</v>
      </c>
      <c r="C108" s="145" t="s">
        <v>61</v>
      </c>
      <c r="D108" s="560">
        <f>D109+D110+D111</f>
        <v>0</v>
      </c>
      <c r="E108" s="221">
        <f>'Свод за 2021 год'!E454</f>
        <v>2557</v>
      </c>
      <c r="F108" s="221">
        <f>'Свод за 2021 год'!F454</f>
        <v>2550</v>
      </c>
      <c r="G108" s="562">
        <f>F108/E108*100</f>
        <v>99.726241689479849</v>
      </c>
      <c r="H108" s="560">
        <f>H109+H110+H111</f>
        <v>0</v>
      </c>
      <c r="I108" s="560">
        <f t="shared" ref="I108:J108" si="27">I109+I110+I111</f>
        <v>0</v>
      </c>
      <c r="J108" s="560">
        <f t="shared" si="27"/>
        <v>0</v>
      </c>
      <c r="K108" s="366" t="e">
        <f>J108/I108*100</f>
        <v>#DIV/0!</v>
      </c>
      <c r="L108" s="414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415"/>
      <c r="AT108" s="415"/>
      <c r="AU108" s="415"/>
      <c r="AV108" s="415"/>
      <c r="AW108" s="415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</row>
    <row r="109" spans="1:84" s="368" customFormat="1" ht="18.75">
      <c r="A109" s="148" t="s">
        <v>97</v>
      </c>
      <c r="B109" s="149" t="s">
        <v>98</v>
      </c>
      <c r="C109" s="185" t="s">
        <v>61</v>
      </c>
      <c r="D109" s="563"/>
      <c r="E109" s="31">
        <f>'Свод за 2021 год'!E455</f>
        <v>421</v>
      </c>
      <c r="F109" s="31">
        <f>'Свод за 2021 год'!F455</f>
        <v>428</v>
      </c>
      <c r="G109" s="559">
        <f t="shared" ref="G109:G123" si="28">F109/E109*100</f>
        <v>101.66270783847982</v>
      </c>
      <c r="H109" s="541"/>
      <c r="I109" s="541"/>
      <c r="J109" s="541"/>
      <c r="K109" s="377" t="e">
        <f t="shared" ref="K109:K123" si="29">J109/I109*100</f>
        <v>#DIV/0!</v>
      </c>
      <c r="L109" s="414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5"/>
      <c r="AX109" s="415"/>
      <c r="AY109" s="415"/>
      <c r="AZ109" s="415"/>
      <c r="BA109" s="415"/>
      <c r="BB109" s="415"/>
      <c r="BC109" s="415"/>
      <c r="BD109" s="415"/>
      <c r="BE109" s="415"/>
      <c r="BF109" s="415"/>
      <c r="BG109" s="415"/>
      <c r="BH109" s="415"/>
      <c r="BI109" s="415"/>
      <c r="BJ109" s="415"/>
      <c r="BK109" s="415"/>
      <c r="BL109" s="415"/>
      <c r="BM109" s="415"/>
      <c r="BN109" s="415"/>
      <c r="BO109" s="415"/>
      <c r="BP109" s="415"/>
      <c r="BQ109" s="415"/>
      <c r="BR109" s="415"/>
      <c r="BS109" s="415"/>
      <c r="BT109" s="415"/>
      <c r="BU109" s="415"/>
      <c r="BV109" s="415"/>
      <c r="BW109" s="415"/>
      <c r="BX109" s="415"/>
      <c r="BY109" s="415"/>
      <c r="BZ109" s="415"/>
      <c r="CA109" s="415"/>
      <c r="CB109" s="415"/>
      <c r="CC109" s="415"/>
      <c r="CD109" s="415"/>
      <c r="CE109" s="415"/>
      <c r="CF109" s="415"/>
    </row>
    <row r="110" spans="1:84" s="368" customFormat="1" ht="18.75">
      <c r="A110" s="148" t="s">
        <v>99</v>
      </c>
      <c r="B110" s="149" t="s">
        <v>100</v>
      </c>
      <c r="C110" s="185" t="s">
        <v>61</v>
      </c>
      <c r="D110" s="563"/>
      <c r="E110" s="31">
        <f>'Свод за 2021 год'!E456</f>
        <v>1860</v>
      </c>
      <c r="F110" s="31">
        <f>'Свод за 2021 год'!F456</f>
        <v>1847</v>
      </c>
      <c r="G110" s="559">
        <f t="shared" si="28"/>
        <v>99.3010752688172</v>
      </c>
      <c r="H110" s="541"/>
      <c r="I110" s="541"/>
      <c r="J110" s="541"/>
      <c r="K110" s="377" t="e">
        <f t="shared" si="29"/>
        <v>#DIV/0!</v>
      </c>
      <c r="L110" s="414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  <c r="AO110" s="415"/>
      <c r="AP110" s="415"/>
      <c r="AQ110" s="415"/>
      <c r="AR110" s="415"/>
      <c r="AS110" s="415"/>
      <c r="AT110" s="415"/>
      <c r="AU110" s="415"/>
      <c r="AV110" s="415"/>
      <c r="AW110" s="415"/>
      <c r="AX110" s="415"/>
      <c r="AY110" s="415"/>
      <c r="AZ110" s="415"/>
      <c r="BA110" s="415"/>
      <c r="BB110" s="415"/>
      <c r="BC110" s="415"/>
      <c r="BD110" s="415"/>
      <c r="BE110" s="415"/>
      <c r="BF110" s="415"/>
      <c r="BG110" s="415"/>
      <c r="BH110" s="415"/>
      <c r="BI110" s="415"/>
      <c r="BJ110" s="415"/>
      <c r="BK110" s="415"/>
      <c r="BL110" s="415"/>
      <c r="BM110" s="415"/>
      <c r="BN110" s="415"/>
      <c r="BO110" s="415"/>
      <c r="BP110" s="415"/>
      <c r="BQ110" s="415"/>
      <c r="BR110" s="415"/>
      <c r="BS110" s="415"/>
      <c r="BT110" s="415"/>
      <c r="BU110" s="415"/>
      <c r="BV110" s="415"/>
      <c r="BW110" s="415"/>
      <c r="BX110" s="415"/>
      <c r="BY110" s="415"/>
      <c r="BZ110" s="415"/>
      <c r="CA110" s="415"/>
      <c r="CB110" s="415"/>
      <c r="CC110" s="415"/>
      <c r="CD110" s="415"/>
      <c r="CE110" s="415"/>
      <c r="CF110" s="415"/>
    </row>
    <row r="111" spans="1:84" s="367" customFormat="1" ht="31.5">
      <c r="A111" s="148" t="s">
        <v>223</v>
      </c>
      <c r="B111" s="149" t="s">
        <v>102</v>
      </c>
      <c r="C111" s="185" t="s">
        <v>61</v>
      </c>
      <c r="D111" s="564"/>
      <c r="E111" s="31">
        <f>'Свод за 2021 год'!E458</f>
        <v>276</v>
      </c>
      <c r="F111" s="31">
        <f>'Свод за 2021 год'!F458</f>
        <v>275</v>
      </c>
      <c r="G111" s="559">
        <f t="shared" si="28"/>
        <v>99.637681159420282</v>
      </c>
      <c r="H111" s="541"/>
      <c r="I111" s="541"/>
      <c r="J111" s="541"/>
      <c r="K111" s="377" t="e">
        <f t="shared" si="29"/>
        <v>#DIV/0!</v>
      </c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  <c r="AH111" s="414"/>
      <c r="AI111" s="414"/>
      <c r="AJ111" s="414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14"/>
      <c r="BC111" s="414"/>
      <c r="BD111" s="414"/>
      <c r="BE111" s="414"/>
      <c r="BF111" s="414"/>
      <c r="BG111" s="414"/>
      <c r="BH111" s="414"/>
      <c r="BI111" s="414"/>
      <c r="BJ111" s="414"/>
      <c r="BK111" s="414"/>
      <c r="BL111" s="414"/>
      <c r="BM111" s="414"/>
      <c r="BN111" s="414"/>
      <c r="BO111" s="414"/>
      <c r="BP111" s="414"/>
      <c r="BQ111" s="414"/>
      <c r="BR111" s="414"/>
      <c r="BS111" s="414"/>
      <c r="BT111" s="414"/>
      <c r="BU111" s="414"/>
      <c r="BV111" s="414"/>
      <c r="BW111" s="414"/>
      <c r="BX111" s="414"/>
      <c r="BY111" s="414"/>
      <c r="BZ111" s="414"/>
      <c r="CA111" s="414"/>
      <c r="CB111" s="414"/>
      <c r="CC111" s="414"/>
      <c r="CD111" s="414"/>
      <c r="CE111" s="414"/>
      <c r="CF111" s="414"/>
    </row>
    <row r="112" spans="1:84" s="487" customFormat="1" ht="15.75">
      <c r="A112" s="483"/>
      <c r="B112" s="484" t="s">
        <v>110</v>
      </c>
      <c r="C112" s="536"/>
      <c r="D112" s="539">
        <f>SUM(D113:D117)</f>
        <v>0</v>
      </c>
      <c r="E112" s="539">
        <f>SUM(E113:E117)</f>
        <v>544</v>
      </c>
      <c r="F112" s="539">
        <f>SUM(F113:F117)</f>
        <v>544</v>
      </c>
      <c r="G112" s="565">
        <f t="shared" si="28"/>
        <v>100</v>
      </c>
      <c r="H112" s="539">
        <f>SUM(H113:H117)</f>
        <v>0</v>
      </c>
      <c r="I112" s="539">
        <f>SUM(I113:I117)</f>
        <v>0</v>
      </c>
      <c r="J112" s="539">
        <f>SUM(J113:J117)</f>
        <v>0</v>
      </c>
      <c r="K112" s="488" t="e">
        <f t="shared" si="29"/>
        <v>#DIV/0!</v>
      </c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6"/>
      <c r="BI112" s="486"/>
      <c r="BJ112" s="486"/>
      <c r="BK112" s="486"/>
      <c r="BL112" s="486"/>
      <c r="BM112" s="486"/>
      <c r="BN112" s="486"/>
      <c r="BO112" s="486"/>
      <c r="BP112" s="486"/>
      <c r="BQ112" s="486"/>
      <c r="BR112" s="486"/>
      <c r="BS112" s="486"/>
      <c r="BT112" s="486"/>
      <c r="BU112" s="486"/>
      <c r="BV112" s="486"/>
      <c r="BW112" s="486"/>
      <c r="BX112" s="486"/>
      <c r="BY112" s="486"/>
      <c r="BZ112" s="486"/>
      <c r="CA112" s="486"/>
      <c r="CB112" s="486"/>
      <c r="CC112" s="486"/>
      <c r="CD112" s="486"/>
      <c r="CE112" s="486"/>
      <c r="CF112" s="486"/>
    </row>
    <row r="113" spans="1:84" s="429" customFormat="1" ht="15.75">
      <c r="A113" s="480" t="s">
        <v>4</v>
      </c>
      <c r="B113" s="481" t="s">
        <v>328</v>
      </c>
      <c r="C113" s="537" t="s">
        <v>112</v>
      </c>
      <c r="D113" s="566"/>
      <c r="E113" s="482">
        <v>120</v>
      </c>
      <c r="F113" s="482">
        <v>120</v>
      </c>
      <c r="G113" s="553">
        <f t="shared" si="28"/>
        <v>100</v>
      </c>
      <c r="H113" s="554"/>
      <c r="I113" s="554"/>
      <c r="J113" s="554"/>
      <c r="K113" s="428" t="e">
        <f t="shared" si="29"/>
        <v>#DIV/0!</v>
      </c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418"/>
      <c r="AX113" s="418"/>
      <c r="AY113" s="418"/>
      <c r="AZ113" s="418"/>
      <c r="BA113" s="418"/>
      <c r="BB113" s="418"/>
      <c r="BC113" s="418"/>
      <c r="BD113" s="418"/>
      <c r="BE113" s="418"/>
      <c r="BF113" s="418"/>
      <c r="BG113" s="418"/>
      <c r="BH113" s="418"/>
      <c r="BI113" s="418"/>
      <c r="BJ113" s="418"/>
      <c r="BK113" s="418"/>
      <c r="BL113" s="418"/>
      <c r="BM113" s="418"/>
      <c r="BN113" s="418"/>
      <c r="BO113" s="418"/>
      <c r="BP113" s="418"/>
      <c r="BQ113" s="418"/>
      <c r="BR113" s="418"/>
      <c r="BS113" s="418"/>
      <c r="BT113" s="418"/>
      <c r="BU113" s="418"/>
      <c r="BV113" s="418"/>
      <c r="BW113" s="418"/>
      <c r="BX113" s="418"/>
      <c r="BY113" s="418"/>
      <c r="BZ113" s="418"/>
      <c r="CA113" s="418"/>
      <c r="CB113" s="418"/>
      <c r="CC113" s="418"/>
      <c r="CD113" s="418"/>
      <c r="CE113" s="418"/>
      <c r="CF113" s="418"/>
    </row>
    <row r="114" spans="1:84" s="367" customFormat="1" ht="31.5">
      <c r="A114" s="198" t="s">
        <v>6</v>
      </c>
      <c r="B114" s="199" t="s">
        <v>113</v>
      </c>
      <c r="C114" s="200" t="s">
        <v>114</v>
      </c>
      <c r="D114" s="564"/>
      <c r="E114" s="112">
        <v>96</v>
      </c>
      <c r="F114" s="112">
        <v>96</v>
      </c>
      <c r="G114" s="559">
        <f t="shared" si="28"/>
        <v>100</v>
      </c>
      <c r="H114" s="541"/>
      <c r="I114" s="541"/>
      <c r="J114" s="541"/>
      <c r="K114" s="377" t="e">
        <f t="shared" si="29"/>
        <v>#DIV/0!</v>
      </c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4"/>
      <c r="AG114" s="414"/>
      <c r="AH114" s="414"/>
      <c r="AI114" s="414"/>
      <c r="AJ114" s="414"/>
      <c r="AK114" s="414"/>
      <c r="AL114" s="414"/>
      <c r="AM114" s="414"/>
      <c r="AN114" s="414"/>
      <c r="AO114" s="414"/>
      <c r="AP114" s="414"/>
      <c r="AQ114" s="414"/>
      <c r="AR114" s="414"/>
      <c r="AS114" s="414"/>
      <c r="AT114" s="414"/>
      <c r="AU114" s="414"/>
      <c r="AV114" s="414"/>
      <c r="AW114" s="414"/>
      <c r="AX114" s="414"/>
      <c r="AY114" s="414"/>
      <c r="AZ114" s="414"/>
      <c r="BA114" s="414"/>
      <c r="BB114" s="414"/>
      <c r="BC114" s="414"/>
      <c r="BD114" s="414"/>
      <c r="BE114" s="414"/>
      <c r="BF114" s="414"/>
      <c r="BG114" s="414"/>
      <c r="BH114" s="414"/>
      <c r="BI114" s="414"/>
      <c r="BJ114" s="414"/>
      <c r="BK114" s="414"/>
      <c r="BL114" s="414"/>
      <c r="BM114" s="414"/>
      <c r="BN114" s="414"/>
      <c r="BO114" s="414"/>
      <c r="BP114" s="414"/>
      <c r="BQ114" s="414"/>
      <c r="BR114" s="414"/>
      <c r="BS114" s="414"/>
      <c r="BT114" s="414"/>
      <c r="BU114" s="414"/>
      <c r="BV114" s="414"/>
      <c r="BW114" s="414"/>
      <c r="BX114" s="414"/>
      <c r="BY114" s="414"/>
      <c r="BZ114" s="414"/>
      <c r="CA114" s="414"/>
      <c r="CB114" s="414"/>
      <c r="CC114" s="414"/>
      <c r="CD114" s="414"/>
      <c r="CE114" s="414"/>
      <c r="CF114" s="414"/>
    </row>
    <row r="115" spans="1:84" s="367" customFormat="1" ht="63">
      <c r="A115" s="198" t="s">
        <v>8</v>
      </c>
      <c r="B115" s="201" t="s">
        <v>115</v>
      </c>
      <c r="C115" s="202" t="s">
        <v>116</v>
      </c>
      <c r="D115" s="564"/>
      <c r="E115" s="112">
        <v>324</v>
      </c>
      <c r="F115" s="112">
        <v>324</v>
      </c>
      <c r="G115" s="559">
        <f t="shared" si="28"/>
        <v>100</v>
      </c>
      <c r="H115" s="541"/>
      <c r="I115" s="541"/>
      <c r="J115" s="541"/>
      <c r="K115" s="377" t="e">
        <f t="shared" si="29"/>
        <v>#DIV/0!</v>
      </c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4"/>
      <c r="AY115" s="414"/>
      <c r="AZ115" s="414"/>
      <c r="BA115" s="414"/>
      <c r="BB115" s="414"/>
      <c r="BC115" s="414"/>
      <c r="BD115" s="414"/>
      <c r="BE115" s="414"/>
      <c r="BF115" s="414"/>
      <c r="BG115" s="414"/>
      <c r="BH115" s="414"/>
      <c r="BI115" s="414"/>
      <c r="BJ115" s="414"/>
      <c r="BK115" s="414"/>
      <c r="BL115" s="414"/>
      <c r="BM115" s="414"/>
      <c r="BN115" s="414"/>
      <c r="BO115" s="414"/>
      <c r="BP115" s="414"/>
      <c r="BQ115" s="414"/>
      <c r="BR115" s="414"/>
      <c r="BS115" s="414"/>
      <c r="BT115" s="414"/>
      <c r="BU115" s="414"/>
      <c r="BV115" s="414"/>
      <c r="BW115" s="414"/>
      <c r="BX115" s="414"/>
      <c r="BY115" s="414"/>
      <c r="BZ115" s="414"/>
      <c r="CA115" s="414"/>
      <c r="CB115" s="414"/>
      <c r="CC115" s="414"/>
      <c r="CD115" s="414"/>
      <c r="CE115" s="414"/>
      <c r="CF115" s="414"/>
    </row>
    <row r="116" spans="1:84" s="367" customFormat="1" ht="47.25">
      <c r="A116" s="198" t="s">
        <v>18</v>
      </c>
      <c r="B116" s="201" t="s">
        <v>184</v>
      </c>
      <c r="C116" s="200" t="s">
        <v>117</v>
      </c>
      <c r="D116" s="564"/>
      <c r="E116" s="112">
        <v>2</v>
      </c>
      <c r="F116" s="112">
        <v>2</v>
      </c>
      <c r="G116" s="559">
        <f t="shared" si="28"/>
        <v>100</v>
      </c>
      <c r="H116" s="541"/>
      <c r="I116" s="541"/>
      <c r="J116" s="541"/>
      <c r="K116" s="377" t="e">
        <f t="shared" si="29"/>
        <v>#DIV/0!</v>
      </c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414"/>
      <c r="AJ116" s="414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14"/>
      <c r="AV116" s="414"/>
      <c r="AW116" s="414"/>
      <c r="AX116" s="414"/>
      <c r="AY116" s="414"/>
      <c r="AZ116" s="414"/>
      <c r="BA116" s="414"/>
      <c r="BB116" s="414"/>
      <c r="BC116" s="414"/>
      <c r="BD116" s="414"/>
      <c r="BE116" s="414"/>
      <c r="BF116" s="414"/>
      <c r="BG116" s="414"/>
      <c r="BH116" s="414"/>
      <c r="BI116" s="414"/>
      <c r="BJ116" s="414"/>
      <c r="BK116" s="414"/>
      <c r="BL116" s="414"/>
      <c r="BM116" s="414"/>
      <c r="BN116" s="414"/>
      <c r="BO116" s="414"/>
      <c r="BP116" s="414"/>
      <c r="BQ116" s="414"/>
      <c r="BR116" s="414"/>
      <c r="BS116" s="414"/>
      <c r="BT116" s="414"/>
      <c r="BU116" s="414"/>
      <c r="BV116" s="414"/>
      <c r="BW116" s="414"/>
      <c r="BX116" s="414"/>
      <c r="BY116" s="414"/>
      <c r="BZ116" s="414"/>
      <c r="CA116" s="414"/>
      <c r="CB116" s="414"/>
      <c r="CC116" s="414"/>
      <c r="CD116" s="414"/>
      <c r="CE116" s="414"/>
      <c r="CF116" s="414"/>
    </row>
    <row r="117" spans="1:84" s="367" customFormat="1" ht="63">
      <c r="A117" s="198" t="s">
        <v>21</v>
      </c>
      <c r="B117" s="201" t="s">
        <v>118</v>
      </c>
      <c r="C117" s="200" t="s">
        <v>117</v>
      </c>
      <c r="D117" s="564"/>
      <c r="E117" s="112">
        <v>2</v>
      </c>
      <c r="F117" s="112">
        <v>2</v>
      </c>
      <c r="G117" s="559">
        <f t="shared" si="28"/>
        <v>100</v>
      </c>
      <c r="H117" s="541"/>
      <c r="I117" s="541"/>
      <c r="J117" s="541"/>
      <c r="K117" s="377" t="e">
        <f t="shared" si="29"/>
        <v>#DIV/0!</v>
      </c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  <c r="AH117" s="414"/>
      <c r="AI117" s="414"/>
      <c r="AJ117" s="414"/>
      <c r="AK117" s="414"/>
      <c r="AL117" s="414"/>
      <c r="AM117" s="414"/>
      <c r="AN117" s="414"/>
      <c r="AO117" s="414"/>
      <c r="AP117" s="41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414"/>
      <c r="BK117" s="414"/>
      <c r="BL117" s="414"/>
      <c r="BM117" s="414"/>
      <c r="BN117" s="414"/>
      <c r="BO117" s="414"/>
      <c r="BP117" s="414"/>
      <c r="BQ117" s="414"/>
      <c r="BR117" s="414"/>
      <c r="BS117" s="414"/>
      <c r="BT117" s="414"/>
      <c r="BU117" s="414"/>
      <c r="BV117" s="414"/>
      <c r="BW117" s="414"/>
      <c r="BX117" s="414"/>
      <c r="BY117" s="414"/>
      <c r="BZ117" s="414"/>
      <c r="CA117" s="414"/>
      <c r="CB117" s="414"/>
      <c r="CC117" s="414"/>
      <c r="CD117" s="414"/>
      <c r="CE117" s="414"/>
      <c r="CF117" s="414"/>
    </row>
    <row r="118" spans="1:84" s="487" customFormat="1" ht="15.75">
      <c r="A118" s="483"/>
      <c r="B118" s="484" t="s">
        <v>119</v>
      </c>
      <c r="C118" s="538"/>
      <c r="D118" s="539">
        <f>SUM(D119:D123)</f>
        <v>0</v>
      </c>
      <c r="E118" s="539">
        <f>SUM(E119:E123)</f>
        <v>494</v>
      </c>
      <c r="F118" s="539">
        <f>SUM(F119:F123)</f>
        <v>494</v>
      </c>
      <c r="G118" s="558">
        <f t="shared" si="28"/>
        <v>100</v>
      </c>
      <c r="H118" s="539">
        <f>SUM(H119:H123)</f>
        <v>0</v>
      </c>
      <c r="I118" s="539">
        <f>SUM(I119:I123)</f>
        <v>0</v>
      </c>
      <c r="J118" s="539">
        <f>SUM(J119:J123)</f>
        <v>0</v>
      </c>
      <c r="K118" s="485" t="e">
        <f t="shared" si="29"/>
        <v>#DIV/0!</v>
      </c>
      <c r="L118" s="486"/>
      <c r="M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486"/>
      <c r="X118" s="486"/>
      <c r="Y118" s="486"/>
      <c r="Z118" s="486"/>
      <c r="AA118" s="486"/>
      <c r="AB118" s="486"/>
      <c r="AC118" s="486"/>
      <c r="AD118" s="486"/>
      <c r="AE118" s="486"/>
      <c r="AF118" s="486"/>
      <c r="AG118" s="486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86"/>
      <c r="AU118" s="486"/>
      <c r="AV118" s="486"/>
      <c r="AW118" s="486"/>
      <c r="AX118" s="486"/>
      <c r="AY118" s="486"/>
      <c r="AZ118" s="486"/>
      <c r="BA118" s="486"/>
      <c r="BB118" s="486"/>
      <c r="BC118" s="486"/>
      <c r="BD118" s="486"/>
      <c r="BE118" s="486"/>
      <c r="BF118" s="486"/>
      <c r="BG118" s="486"/>
      <c r="BH118" s="486"/>
      <c r="BI118" s="486"/>
      <c r="BJ118" s="486"/>
      <c r="BK118" s="486"/>
      <c r="BL118" s="486"/>
      <c r="BM118" s="486"/>
      <c r="BN118" s="486"/>
      <c r="BO118" s="486"/>
      <c r="BP118" s="486"/>
      <c r="BQ118" s="486"/>
      <c r="BR118" s="486"/>
      <c r="BS118" s="486"/>
      <c r="BT118" s="486"/>
      <c r="BU118" s="486"/>
      <c r="BV118" s="486"/>
      <c r="BW118" s="486"/>
      <c r="BX118" s="486"/>
      <c r="BY118" s="486"/>
      <c r="BZ118" s="486"/>
      <c r="CA118" s="486"/>
      <c r="CB118" s="486"/>
      <c r="CC118" s="486"/>
      <c r="CD118" s="486"/>
      <c r="CE118" s="486"/>
      <c r="CF118" s="486"/>
    </row>
    <row r="119" spans="1:84" s="367" customFormat="1" ht="15.75">
      <c r="A119" s="181" t="s">
        <v>4</v>
      </c>
      <c r="B119" s="80" t="s">
        <v>325</v>
      </c>
      <c r="C119" s="182" t="s">
        <v>9</v>
      </c>
      <c r="D119" s="564"/>
      <c r="E119" s="184">
        <v>201</v>
      </c>
      <c r="F119" s="184">
        <v>201</v>
      </c>
      <c r="G119" s="559">
        <f t="shared" si="28"/>
        <v>100</v>
      </c>
      <c r="H119" s="541"/>
      <c r="I119" s="541"/>
      <c r="J119" s="541"/>
      <c r="K119" s="377" t="e">
        <f t="shared" si="29"/>
        <v>#DIV/0!</v>
      </c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14"/>
      <c r="AH119" s="414"/>
      <c r="AI119" s="414"/>
      <c r="AJ119" s="414"/>
      <c r="AK119" s="414"/>
      <c r="AL119" s="414"/>
      <c r="AM119" s="414"/>
      <c r="AN119" s="414"/>
      <c r="AO119" s="414"/>
      <c r="AP119" s="41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414"/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/>
      <c r="BX119" s="414"/>
      <c r="BY119" s="414"/>
      <c r="BZ119" s="414"/>
      <c r="CA119" s="414"/>
      <c r="CB119" s="414"/>
      <c r="CC119" s="414"/>
      <c r="CD119" s="414"/>
      <c r="CE119" s="414"/>
      <c r="CF119" s="414"/>
    </row>
    <row r="120" spans="1:84" s="367" customFormat="1" ht="31.5">
      <c r="A120" s="181" t="s">
        <v>6</v>
      </c>
      <c r="B120" s="80" t="s">
        <v>120</v>
      </c>
      <c r="C120" s="185" t="s">
        <v>117</v>
      </c>
      <c r="D120" s="564"/>
      <c r="E120" s="184">
        <v>4</v>
      </c>
      <c r="F120" s="184">
        <v>4</v>
      </c>
      <c r="G120" s="559">
        <f t="shared" si="28"/>
        <v>100</v>
      </c>
      <c r="H120" s="541"/>
      <c r="I120" s="541"/>
      <c r="J120" s="541"/>
      <c r="K120" s="377" t="e">
        <f t="shared" si="29"/>
        <v>#DIV/0!</v>
      </c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14"/>
      <c r="BB120" s="414"/>
      <c r="BC120" s="414"/>
      <c r="BD120" s="414"/>
      <c r="BE120" s="414"/>
      <c r="BF120" s="414"/>
      <c r="BG120" s="414"/>
      <c r="BH120" s="414"/>
      <c r="BI120" s="414"/>
      <c r="BJ120" s="414"/>
      <c r="BK120" s="414"/>
      <c r="BL120" s="414"/>
      <c r="BM120" s="414"/>
      <c r="BN120" s="414"/>
      <c r="BO120" s="414"/>
      <c r="BP120" s="414"/>
      <c r="BQ120" s="414"/>
      <c r="BR120" s="414"/>
      <c r="BS120" s="414"/>
      <c r="BT120" s="414"/>
      <c r="BU120" s="414"/>
      <c r="BV120" s="414"/>
      <c r="BW120" s="414"/>
      <c r="BX120" s="414"/>
      <c r="BY120" s="414"/>
      <c r="BZ120" s="414"/>
      <c r="CA120" s="414"/>
      <c r="CB120" s="414"/>
      <c r="CC120" s="414"/>
      <c r="CD120" s="414"/>
      <c r="CE120" s="414"/>
      <c r="CF120" s="414"/>
    </row>
    <row r="121" spans="1:84" s="367" customFormat="1" ht="31.5">
      <c r="A121" s="181" t="s">
        <v>8</v>
      </c>
      <c r="B121" s="85" t="s">
        <v>121</v>
      </c>
      <c r="C121" s="186" t="s">
        <v>208</v>
      </c>
      <c r="D121" s="564"/>
      <c r="E121" s="112">
        <v>9</v>
      </c>
      <c r="F121" s="112">
        <v>9</v>
      </c>
      <c r="G121" s="559">
        <f t="shared" si="28"/>
        <v>100</v>
      </c>
      <c r="H121" s="541"/>
      <c r="I121" s="541"/>
      <c r="J121" s="541"/>
      <c r="K121" s="377" t="e">
        <f t="shared" si="29"/>
        <v>#DIV/0!</v>
      </c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  <c r="AF121" s="414"/>
      <c r="AG121" s="414"/>
      <c r="AH121" s="414"/>
      <c r="AI121" s="414"/>
      <c r="AJ121" s="414"/>
      <c r="AK121" s="414"/>
      <c r="AL121" s="414"/>
      <c r="AM121" s="414"/>
      <c r="AN121" s="414"/>
      <c r="AO121" s="414"/>
      <c r="AP121" s="414"/>
      <c r="AQ121" s="414"/>
      <c r="AR121" s="414"/>
      <c r="AS121" s="414"/>
      <c r="AT121" s="414"/>
      <c r="AU121" s="414"/>
      <c r="AV121" s="414"/>
      <c r="AW121" s="414"/>
      <c r="AX121" s="414"/>
      <c r="AY121" s="414"/>
      <c r="AZ121" s="414"/>
      <c r="BA121" s="414"/>
      <c r="BB121" s="414"/>
      <c r="BC121" s="414"/>
      <c r="BD121" s="414"/>
      <c r="BE121" s="414"/>
      <c r="BF121" s="414"/>
      <c r="BG121" s="414"/>
      <c r="BH121" s="414"/>
      <c r="BI121" s="414"/>
      <c r="BJ121" s="414"/>
      <c r="BK121" s="414"/>
      <c r="BL121" s="414"/>
      <c r="BM121" s="414"/>
      <c r="BN121" s="414"/>
      <c r="BO121" s="414"/>
      <c r="BP121" s="414"/>
      <c r="BQ121" s="414"/>
      <c r="BR121" s="414"/>
      <c r="BS121" s="414"/>
      <c r="BT121" s="414"/>
      <c r="BU121" s="414"/>
      <c r="BV121" s="414"/>
      <c r="BW121" s="414"/>
      <c r="BX121" s="414"/>
      <c r="BY121" s="414"/>
      <c r="BZ121" s="414"/>
      <c r="CA121" s="414"/>
      <c r="CB121" s="414"/>
      <c r="CC121" s="414"/>
      <c r="CD121" s="414"/>
      <c r="CE121" s="414"/>
      <c r="CF121" s="414"/>
    </row>
    <row r="122" spans="1:84" s="367" customFormat="1" ht="47.25">
      <c r="A122" s="181" t="s">
        <v>18</v>
      </c>
      <c r="B122" s="85" t="s">
        <v>122</v>
      </c>
      <c r="C122" s="186" t="s">
        <v>114</v>
      </c>
      <c r="D122" s="564"/>
      <c r="E122" s="112">
        <v>200</v>
      </c>
      <c r="F122" s="112">
        <v>200</v>
      </c>
      <c r="G122" s="559">
        <f t="shared" si="28"/>
        <v>100</v>
      </c>
      <c r="H122" s="541"/>
      <c r="I122" s="541"/>
      <c r="J122" s="541"/>
      <c r="K122" s="377" t="e">
        <f t="shared" si="29"/>
        <v>#DIV/0!</v>
      </c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4"/>
      <c r="AN122" s="414"/>
      <c r="AO122" s="414"/>
      <c r="AP122" s="414"/>
      <c r="AQ122" s="414"/>
      <c r="AR122" s="414"/>
      <c r="AS122" s="414"/>
      <c r="AT122" s="414"/>
      <c r="AU122" s="414"/>
      <c r="AV122" s="414"/>
      <c r="AW122" s="414"/>
      <c r="AX122" s="414"/>
      <c r="AY122" s="414"/>
      <c r="AZ122" s="414"/>
      <c r="BA122" s="414"/>
      <c r="BB122" s="414"/>
      <c r="BC122" s="414"/>
      <c r="BD122" s="414"/>
      <c r="BE122" s="414"/>
      <c r="BF122" s="414"/>
      <c r="BG122" s="414"/>
      <c r="BH122" s="414"/>
      <c r="BI122" s="414"/>
      <c r="BJ122" s="414"/>
      <c r="BK122" s="414"/>
      <c r="BL122" s="414"/>
      <c r="BM122" s="414"/>
      <c r="BN122" s="414"/>
      <c r="BO122" s="414"/>
      <c r="BP122" s="414"/>
      <c r="BQ122" s="414"/>
      <c r="BR122" s="414"/>
      <c r="BS122" s="414"/>
      <c r="BT122" s="414"/>
      <c r="BU122" s="414"/>
      <c r="BV122" s="414"/>
      <c r="BW122" s="414"/>
      <c r="BX122" s="414"/>
      <c r="BY122" s="414"/>
      <c r="BZ122" s="414"/>
      <c r="CA122" s="414"/>
      <c r="CB122" s="414"/>
      <c r="CC122" s="414"/>
      <c r="CD122" s="414"/>
      <c r="CE122" s="414"/>
      <c r="CF122" s="414"/>
    </row>
    <row r="123" spans="1:84" s="367" customFormat="1" ht="31.5">
      <c r="A123" s="181" t="s">
        <v>21</v>
      </c>
      <c r="B123" s="85" t="s">
        <v>123</v>
      </c>
      <c r="C123" s="186" t="s">
        <v>124</v>
      </c>
      <c r="D123" s="564"/>
      <c r="E123" s="112">
        <v>80</v>
      </c>
      <c r="F123" s="112">
        <v>80</v>
      </c>
      <c r="G123" s="559">
        <f t="shared" si="28"/>
        <v>100</v>
      </c>
      <c r="H123" s="541"/>
      <c r="I123" s="541"/>
      <c r="J123" s="541"/>
      <c r="K123" s="377" t="e">
        <f t="shared" si="29"/>
        <v>#DIV/0!</v>
      </c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414"/>
      <c r="AJ123" s="414"/>
      <c r="AK123" s="414"/>
      <c r="AL123" s="414"/>
      <c r="AM123" s="414"/>
      <c r="AN123" s="414"/>
      <c r="AO123" s="414"/>
      <c r="AP123" s="414"/>
      <c r="AQ123" s="414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4"/>
      <c r="BG123" s="414"/>
      <c r="BH123" s="414"/>
      <c r="BI123" s="414"/>
      <c r="BJ123" s="414"/>
      <c r="BK123" s="414"/>
      <c r="BL123" s="414"/>
      <c r="BM123" s="414"/>
      <c r="BN123" s="414"/>
      <c r="BO123" s="414"/>
      <c r="BP123" s="414"/>
      <c r="BQ123" s="414"/>
      <c r="BR123" s="414"/>
      <c r="BS123" s="414"/>
      <c r="BT123" s="414"/>
      <c r="BU123" s="414"/>
      <c r="BV123" s="414"/>
      <c r="BW123" s="414"/>
      <c r="BX123" s="414"/>
      <c r="BY123" s="414"/>
      <c r="BZ123" s="414"/>
      <c r="CA123" s="414"/>
      <c r="CB123" s="414"/>
      <c r="CC123" s="414"/>
      <c r="CD123" s="414"/>
      <c r="CE123" s="414"/>
      <c r="CF123" s="414"/>
    </row>
    <row r="124" spans="1:84" s="367" customFormat="1" ht="15.75">
      <c r="A124" s="181"/>
      <c r="B124" s="85"/>
      <c r="C124" s="186"/>
      <c r="D124" s="564"/>
      <c r="E124" s="112"/>
      <c r="F124" s="112"/>
      <c r="G124" s="559"/>
      <c r="H124" s="541"/>
      <c r="I124" s="541"/>
      <c r="J124" s="541"/>
      <c r="K124" s="377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414"/>
      <c r="AT124" s="414"/>
      <c r="AU124" s="414"/>
      <c r="AV124" s="414"/>
      <c r="AW124" s="414"/>
      <c r="AX124" s="414"/>
      <c r="AY124" s="414"/>
      <c r="AZ124" s="414"/>
      <c r="BA124" s="414"/>
      <c r="BB124" s="414"/>
      <c r="BC124" s="414"/>
      <c r="BD124" s="414"/>
      <c r="BE124" s="414"/>
      <c r="BF124" s="414"/>
      <c r="BG124" s="414"/>
      <c r="BH124" s="414"/>
      <c r="BI124" s="414"/>
      <c r="BJ124" s="414"/>
      <c r="BK124" s="414"/>
      <c r="BL124" s="414"/>
      <c r="BM124" s="414"/>
      <c r="BN124" s="414"/>
      <c r="BO124" s="414"/>
      <c r="BP124" s="414"/>
      <c r="BQ124" s="414"/>
      <c r="BR124" s="414"/>
      <c r="BS124" s="414"/>
      <c r="BT124" s="414"/>
      <c r="BU124" s="414"/>
      <c r="BV124" s="414"/>
      <c r="BW124" s="414"/>
      <c r="BX124" s="414"/>
      <c r="BY124" s="414"/>
      <c r="BZ124" s="414"/>
      <c r="CA124" s="414"/>
      <c r="CB124" s="414"/>
      <c r="CC124" s="414"/>
      <c r="CD124" s="414"/>
      <c r="CE124" s="414"/>
      <c r="CF124" s="414"/>
    </row>
    <row r="125" spans="1:84" s="367" customFormat="1" ht="15.75">
      <c r="A125" s="181"/>
      <c r="B125" s="85"/>
      <c r="C125" s="186"/>
      <c r="D125" s="564"/>
      <c r="E125" s="112"/>
      <c r="F125" s="112"/>
      <c r="G125" s="559"/>
      <c r="H125" s="541"/>
      <c r="I125" s="541"/>
      <c r="J125" s="541"/>
      <c r="K125" s="377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  <c r="AH125" s="414"/>
      <c r="AI125" s="414"/>
      <c r="AJ125" s="414"/>
      <c r="AK125" s="414"/>
      <c r="AL125" s="414"/>
      <c r="AM125" s="414"/>
      <c r="AN125" s="414"/>
      <c r="AO125" s="414"/>
      <c r="AP125" s="414"/>
      <c r="AQ125" s="414"/>
      <c r="AR125" s="414"/>
      <c r="AS125" s="414"/>
      <c r="AT125" s="414"/>
      <c r="AU125" s="414"/>
      <c r="AV125" s="414"/>
      <c r="AW125" s="414"/>
      <c r="AX125" s="414"/>
      <c r="AY125" s="414"/>
      <c r="AZ125" s="414"/>
      <c r="BA125" s="414"/>
      <c r="BB125" s="414"/>
      <c r="BC125" s="414"/>
      <c r="BD125" s="414"/>
      <c r="BE125" s="414"/>
      <c r="BF125" s="414"/>
      <c r="BG125" s="414"/>
      <c r="BH125" s="414"/>
      <c r="BI125" s="414"/>
      <c r="BJ125" s="414"/>
      <c r="BK125" s="414"/>
      <c r="BL125" s="414"/>
      <c r="BM125" s="414"/>
      <c r="BN125" s="414"/>
      <c r="BO125" s="414"/>
      <c r="BP125" s="414"/>
      <c r="BQ125" s="414"/>
      <c r="BR125" s="414"/>
      <c r="BS125" s="414"/>
      <c r="BT125" s="414"/>
      <c r="BU125" s="414"/>
      <c r="BV125" s="414"/>
      <c r="BW125" s="414"/>
      <c r="BX125" s="414"/>
      <c r="BY125" s="414"/>
      <c r="BZ125" s="414"/>
      <c r="CA125" s="414"/>
      <c r="CB125" s="414"/>
      <c r="CC125" s="414"/>
      <c r="CD125" s="414"/>
      <c r="CE125" s="414"/>
      <c r="CF125" s="414"/>
    </row>
    <row r="126" spans="1:84" s="367" customFormat="1" ht="15.75">
      <c r="A126" s="181"/>
      <c r="B126" s="85"/>
      <c r="C126" s="186"/>
      <c r="D126" s="564"/>
      <c r="E126" s="112"/>
      <c r="F126" s="112"/>
      <c r="G126" s="559"/>
      <c r="H126" s="541"/>
      <c r="I126" s="541"/>
      <c r="J126" s="541"/>
      <c r="K126" s="377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  <c r="AH126" s="414"/>
      <c r="AI126" s="414"/>
      <c r="AJ126" s="414"/>
      <c r="AK126" s="414"/>
      <c r="AL126" s="414"/>
      <c r="AM126" s="414"/>
      <c r="AN126" s="414"/>
      <c r="AO126" s="414"/>
      <c r="AP126" s="414"/>
      <c r="AQ126" s="414"/>
      <c r="AR126" s="414"/>
      <c r="AS126" s="414"/>
      <c r="AT126" s="414"/>
      <c r="AU126" s="414"/>
      <c r="AV126" s="414"/>
      <c r="AW126" s="414"/>
      <c r="AX126" s="414"/>
      <c r="AY126" s="414"/>
      <c r="AZ126" s="414"/>
      <c r="BA126" s="414"/>
      <c r="BB126" s="414"/>
      <c r="BC126" s="414"/>
      <c r="BD126" s="414"/>
      <c r="BE126" s="414"/>
      <c r="BF126" s="414"/>
      <c r="BG126" s="414"/>
      <c r="BH126" s="414"/>
      <c r="BI126" s="414"/>
      <c r="BJ126" s="414"/>
      <c r="BK126" s="414"/>
      <c r="BL126" s="414"/>
      <c r="BM126" s="414"/>
      <c r="BN126" s="414"/>
      <c r="BO126" s="414"/>
      <c r="BP126" s="414"/>
      <c r="BQ126" s="414"/>
      <c r="BR126" s="414"/>
      <c r="BS126" s="414"/>
      <c r="BT126" s="414"/>
      <c r="BU126" s="414"/>
      <c r="BV126" s="414"/>
      <c r="BW126" s="414"/>
      <c r="BX126" s="414"/>
      <c r="BY126" s="414"/>
      <c r="BZ126" s="414"/>
      <c r="CA126" s="414"/>
      <c r="CB126" s="414"/>
      <c r="CC126" s="414"/>
      <c r="CD126" s="414"/>
      <c r="CE126" s="414"/>
      <c r="CF126" s="414"/>
    </row>
    <row r="127" spans="1:84" s="367" customFormat="1" ht="15.75">
      <c r="A127" s="181"/>
      <c r="B127" s="85"/>
      <c r="C127" s="186"/>
      <c r="D127" s="564"/>
      <c r="E127" s="112"/>
      <c r="F127" s="112"/>
      <c r="G127" s="559"/>
      <c r="H127" s="541"/>
      <c r="I127" s="541"/>
      <c r="J127" s="541"/>
      <c r="K127" s="377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  <c r="AF127" s="414"/>
      <c r="AG127" s="414"/>
      <c r="AH127" s="414"/>
      <c r="AI127" s="414"/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414"/>
      <c r="AT127" s="414"/>
      <c r="AU127" s="414"/>
      <c r="AV127" s="414"/>
      <c r="AW127" s="414"/>
      <c r="AX127" s="414"/>
      <c r="AY127" s="414"/>
      <c r="AZ127" s="414"/>
      <c r="BA127" s="414"/>
      <c r="BB127" s="414"/>
      <c r="BC127" s="414"/>
      <c r="BD127" s="414"/>
      <c r="BE127" s="414"/>
      <c r="BF127" s="414"/>
      <c r="BG127" s="414"/>
      <c r="BH127" s="414"/>
      <c r="BI127" s="414"/>
      <c r="BJ127" s="414"/>
      <c r="BK127" s="414"/>
      <c r="BL127" s="414"/>
      <c r="BM127" s="414"/>
      <c r="BN127" s="414"/>
      <c r="BO127" s="414"/>
      <c r="BP127" s="414"/>
      <c r="BQ127" s="414"/>
      <c r="BR127" s="414"/>
      <c r="BS127" s="414"/>
      <c r="BT127" s="414"/>
      <c r="BU127" s="414"/>
      <c r="BV127" s="414"/>
      <c r="BW127" s="414"/>
      <c r="BX127" s="414"/>
      <c r="BY127" s="414"/>
      <c r="BZ127" s="414"/>
      <c r="CA127" s="414"/>
      <c r="CB127" s="414"/>
      <c r="CC127" s="414"/>
      <c r="CD127" s="414"/>
      <c r="CE127" s="414"/>
      <c r="CF127" s="414"/>
    </row>
    <row r="128" spans="1:84" s="367" customFormat="1" ht="15.75">
      <c r="A128" s="181"/>
      <c r="B128" s="85"/>
      <c r="C128" s="186"/>
      <c r="D128" s="564"/>
      <c r="E128" s="112"/>
      <c r="F128" s="112"/>
      <c r="G128" s="559"/>
      <c r="H128" s="541"/>
      <c r="I128" s="541"/>
      <c r="J128" s="541"/>
      <c r="K128" s="377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  <c r="AF128" s="414"/>
      <c r="AG128" s="414"/>
      <c r="AH128" s="414"/>
      <c r="AI128" s="414"/>
      <c r="AJ128" s="414"/>
      <c r="AK128" s="414"/>
      <c r="AL128" s="414"/>
      <c r="AM128" s="414"/>
      <c r="AN128" s="414"/>
      <c r="AO128" s="414"/>
      <c r="AP128" s="414"/>
      <c r="AQ128" s="414"/>
      <c r="AR128" s="414"/>
      <c r="AS128" s="414"/>
      <c r="AT128" s="414"/>
      <c r="AU128" s="414"/>
      <c r="AV128" s="414"/>
      <c r="AW128" s="414"/>
      <c r="AX128" s="414"/>
      <c r="AY128" s="414"/>
      <c r="AZ128" s="414"/>
      <c r="BA128" s="414"/>
      <c r="BB128" s="414"/>
      <c r="BC128" s="414"/>
      <c r="BD128" s="414"/>
      <c r="BE128" s="414"/>
      <c r="BF128" s="414"/>
      <c r="BG128" s="414"/>
      <c r="BH128" s="414"/>
      <c r="BI128" s="414"/>
      <c r="BJ128" s="414"/>
      <c r="BK128" s="414"/>
      <c r="BL128" s="414"/>
      <c r="BM128" s="414"/>
      <c r="BN128" s="414"/>
      <c r="BO128" s="414"/>
      <c r="BP128" s="414"/>
      <c r="BQ128" s="414"/>
      <c r="BR128" s="414"/>
      <c r="BS128" s="414"/>
      <c r="BT128" s="414"/>
      <c r="BU128" s="414"/>
      <c r="BV128" s="414"/>
      <c r="BW128" s="414"/>
      <c r="BX128" s="414"/>
      <c r="BY128" s="414"/>
      <c r="BZ128" s="414"/>
      <c r="CA128" s="414"/>
      <c r="CB128" s="414"/>
      <c r="CC128" s="414"/>
      <c r="CD128" s="414"/>
      <c r="CE128" s="414"/>
      <c r="CF128" s="414"/>
    </row>
    <row r="129" spans="1:84" s="367" customFormat="1" ht="15.75">
      <c r="A129" s="181"/>
      <c r="B129" s="85"/>
      <c r="C129" s="186"/>
      <c r="D129" s="564"/>
      <c r="E129" s="112"/>
      <c r="F129" s="112"/>
      <c r="G129" s="559"/>
      <c r="H129" s="541"/>
      <c r="I129" s="541"/>
      <c r="J129" s="541"/>
      <c r="K129" s="377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14"/>
      <c r="AH129" s="414"/>
      <c r="AI129" s="414"/>
      <c r="AJ129" s="414"/>
      <c r="AK129" s="414"/>
      <c r="AL129" s="414"/>
      <c r="AM129" s="414"/>
      <c r="AN129" s="414"/>
      <c r="AO129" s="414"/>
      <c r="AP129" s="414"/>
      <c r="AQ129" s="414"/>
      <c r="AR129" s="414"/>
      <c r="AS129" s="414"/>
      <c r="AT129" s="414"/>
      <c r="AU129" s="414"/>
      <c r="AV129" s="414"/>
      <c r="AW129" s="414"/>
      <c r="AX129" s="414"/>
      <c r="AY129" s="414"/>
      <c r="AZ129" s="414"/>
      <c r="BA129" s="414"/>
      <c r="BB129" s="414"/>
      <c r="BC129" s="414"/>
      <c r="BD129" s="414"/>
      <c r="BE129" s="414"/>
      <c r="BF129" s="414"/>
      <c r="BG129" s="414"/>
      <c r="BH129" s="414"/>
      <c r="BI129" s="414"/>
      <c r="BJ129" s="414"/>
      <c r="BK129" s="414"/>
      <c r="BL129" s="414"/>
      <c r="BM129" s="414"/>
      <c r="BN129" s="414"/>
      <c r="BO129" s="414"/>
      <c r="BP129" s="414"/>
      <c r="BQ129" s="414"/>
      <c r="BR129" s="414"/>
      <c r="BS129" s="414"/>
      <c r="BT129" s="414"/>
      <c r="BU129" s="414"/>
      <c r="BV129" s="414"/>
      <c r="BW129" s="414"/>
      <c r="BX129" s="414"/>
      <c r="BY129" s="414"/>
      <c r="BZ129" s="414"/>
      <c r="CA129" s="414"/>
      <c r="CB129" s="414"/>
      <c r="CC129" s="414"/>
      <c r="CD129" s="414"/>
      <c r="CE129" s="414"/>
      <c r="CF129" s="414"/>
    </row>
    <row r="130" spans="1:84" s="367" customFormat="1" ht="15.75">
      <c r="A130" s="181"/>
      <c r="B130" s="85"/>
      <c r="C130" s="186"/>
      <c r="D130" s="564"/>
      <c r="E130" s="112"/>
      <c r="F130" s="112"/>
      <c r="G130" s="559"/>
      <c r="H130" s="541"/>
      <c r="I130" s="541"/>
      <c r="J130" s="541"/>
      <c r="K130" s="377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F130" s="414"/>
      <c r="AG130" s="414"/>
      <c r="AH130" s="414"/>
      <c r="AI130" s="414"/>
      <c r="AJ130" s="414"/>
      <c r="AK130" s="414"/>
      <c r="AL130" s="414"/>
      <c r="AM130" s="414"/>
      <c r="AN130" s="414"/>
      <c r="AO130" s="414"/>
      <c r="AP130" s="414"/>
      <c r="AQ130" s="414"/>
      <c r="AR130" s="414"/>
      <c r="AS130" s="414"/>
      <c r="AT130" s="414"/>
      <c r="AU130" s="414"/>
      <c r="AV130" s="414"/>
      <c r="AW130" s="414"/>
      <c r="AX130" s="414"/>
      <c r="AY130" s="414"/>
      <c r="AZ130" s="414"/>
      <c r="BA130" s="414"/>
      <c r="BB130" s="414"/>
      <c r="BC130" s="414"/>
      <c r="BD130" s="414"/>
      <c r="BE130" s="414"/>
      <c r="BF130" s="414"/>
      <c r="BG130" s="414"/>
      <c r="BH130" s="414"/>
      <c r="BI130" s="414"/>
      <c r="BJ130" s="414"/>
      <c r="BK130" s="414"/>
      <c r="BL130" s="414"/>
      <c r="BM130" s="414"/>
      <c r="BN130" s="414"/>
      <c r="BO130" s="414"/>
      <c r="BP130" s="414"/>
      <c r="BQ130" s="414"/>
      <c r="BR130" s="414"/>
      <c r="BS130" s="414"/>
      <c r="BT130" s="414"/>
      <c r="BU130" s="414"/>
      <c r="BV130" s="414"/>
      <c r="BW130" s="414"/>
      <c r="BX130" s="414"/>
      <c r="BY130" s="414"/>
      <c r="BZ130" s="414"/>
      <c r="CA130" s="414"/>
      <c r="CB130" s="414"/>
      <c r="CC130" s="414"/>
      <c r="CD130" s="414"/>
      <c r="CE130" s="414"/>
      <c r="CF130" s="414"/>
    </row>
    <row r="131" spans="1:84" s="367" customFormat="1" ht="15.75">
      <c r="A131" s="181"/>
      <c r="B131" s="85"/>
      <c r="C131" s="186"/>
      <c r="D131" s="564"/>
      <c r="E131" s="112"/>
      <c r="F131" s="112"/>
      <c r="G131" s="559"/>
      <c r="H131" s="541"/>
      <c r="I131" s="541"/>
      <c r="J131" s="541"/>
      <c r="K131" s="377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  <c r="AA131" s="414"/>
      <c r="AB131" s="414"/>
      <c r="AC131" s="414"/>
      <c r="AD131" s="414"/>
      <c r="AE131" s="414"/>
      <c r="AF131" s="414"/>
      <c r="AG131" s="414"/>
      <c r="AH131" s="414"/>
      <c r="AI131" s="414"/>
      <c r="AJ131" s="414"/>
      <c r="AK131" s="414"/>
      <c r="AL131" s="414"/>
      <c r="AM131" s="414"/>
      <c r="AN131" s="414"/>
      <c r="AO131" s="414"/>
      <c r="AP131" s="414"/>
      <c r="AQ131" s="414"/>
      <c r="AR131" s="414"/>
      <c r="AS131" s="414"/>
      <c r="AT131" s="414"/>
      <c r="AU131" s="414"/>
      <c r="AV131" s="414"/>
      <c r="AW131" s="414"/>
      <c r="AX131" s="414"/>
      <c r="AY131" s="414"/>
      <c r="AZ131" s="414"/>
      <c r="BA131" s="414"/>
      <c r="BB131" s="414"/>
      <c r="BC131" s="414"/>
      <c r="BD131" s="414"/>
      <c r="BE131" s="414"/>
      <c r="BF131" s="414"/>
      <c r="BG131" s="414"/>
      <c r="BH131" s="414"/>
      <c r="BI131" s="414"/>
      <c r="BJ131" s="414"/>
      <c r="BK131" s="414"/>
      <c r="BL131" s="414"/>
      <c r="BM131" s="414"/>
      <c r="BN131" s="414"/>
      <c r="BO131" s="414"/>
      <c r="BP131" s="414"/>
      <c r="BQ131" s="414"/>
      <c r="BR131" s="414"/>
      <c r="BS131" s="414"/>
      <c r="BT131" s="414"/>
      <c r="BU131" s="414"/>
      <c r="BV131" s="414"/>
      <c r="BW131" s="414"/>
      <c r="BX131" s="414"/>
      <c r="BY131" s="414"/>
      <c r="BZ131" s="414"/>
      <c r="CA131" s="414"/>
      <c r="CB131" s="414"/>
      <c r="CC131" s="414"/>
      <c r="CD131" s="414"/>
      <c r="CE131" s="414"/>
      <c r="CF131" s="414"/>
    </row>
    <row r="132" spans="1:84" s="429" customFormat="1" ht="15.75">
      <c r="A132" s="573" t="s">
        <v>6</v>
      </c>
      <c r="B132" s="567" t="s">
        <v>326</v>
      </c>
      <c r="C132" s="569" t="s">
        <v>322</v>
      </c>
      <c r="D132" s="568">
        <v>120</v>
      </c>
      <c r="E132" s="568">
        <v>210</v>
      </c>
      <c r="F132" s="568">
        <v>210</v>
      </c>
      <c r="G132" s="569">
        <v>100</v>
      </c>
      <c r="H132" s="574">
        <f>326</f>
        <v>326</v>
      </c>
      <c r="I132" s="574">
        <v>710</v>
      </c>
      <c r="J132" s="574">
        <v>710</v>
      </c>
      <c r="K132" s="570">
        <v>100</v>
      </c>
      <c r="L132" s="418" t="s">
        <v>315</v>
      </c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  <c r="AF132" s="418"/>
      <c r="AG132" s="418"/>
      <c r="AH132" s="418"/>
      <c r="AI132" s="418"/>
      <c r="AJ132" s="418"/>
      <c r="AK132" s="418"/>
      <c r="AL132" s="418"/>
      <c r="AM132" s="418"/>
      <c r="AN132" s="418"/>
      <c r="AO132" s="418"/>
      <c r="AP132" s="418"/>
      <c r="AQ132" s="418"/>
      <c r="AR132" s="418"/>
      <c r="AS132" s="418"/>
      <c r="AT132" s="418"/>
      <c r="AU132" s="418"/>
      <c r="AV132" s="418"/>
      <c r="AW132" s="418"/>
      <c r="AX132" s="418"/>
      <c r="AY132" s="418"/>
      <c r="AZ132" s="418"/>
      <c r="BA132" s="418"/>
      <c r="BB132" s="418"/>
      <c r="BC132" s="418"/>
      <c r="BD132" s="418"/>
      <c r="BE132" s="418"/>
      <c r="BF132" s="418"/>
      <c r="BG132" s="418"/>
      <c r="BH132" s="418"/>
      <c r="BI132" s="418"/>
      <c r="BJ132" s="418"/>
      <c r="BK132" s="418"/>
      <c r="BL132" s="418"/>
      <c r="BM132" s="418"/>
      <c r="BN132" s="418"/>
      <c r="BO132" s="418"/>
      <c r="BP132" s="418"/>
      <c r="BQ132" s="418"/>
      <c r="BR132" s="418"/>
      <c r="BS132" s="418"/>
      <c r="BT132" s="418"/>
      <c r="BU132" s="418"/>
      <c r="BV132" s="418"/>
      <c r="BW132" s="418"/>
      <c r="BX132" s="418"/>
      <c r="BY132" s="418"/>
      <c r="BZ132" s="418"/>
      <c r="CA132" s="418"/>
      <c r="CB132" s="418"/>
      <c r="CC132" s="418"/>
      <c r="CD132" s="418"/>
      <c r="CE132" s="418"/>
      <c r="CF132" s="418"/>
    </row>
    <row r="133" spans="1:84" s="418" customFormat="1" ht="15.75">
      <c r="A133" s="571"/>
      <c r="B133" s="476" t="s">
        <v>327</v>
      </c>
      <c r="C133" s="569" t="s">
        <v>322</v>
      </c>
      <c r="D133" s="572"/>
      <c r="E133" s="477">
        <v>515</v>
      </c>
      <c r="F133" s="477">
        <v>515</v>
      </c>
      <c r="G133" s="569">
        <v>100</v>
      </c>
      <c r="H133" s="478">
        <v>639</v>
      </c>
      <c r="I133" s="478">
        <v>1651</v>
      </c>
      <c r="J133" s="478">
        <v>1651</v>
      </c>
      <c r="K133" s="569">
        <v>100</v>
      </c>
      <c r="L133" s="479" t="s">
        <v>315</v>
      </c>
    </row>
    <row r="134" spans="1:84" s="367" customFormat="1" ht="15.75">
      <c r="A134" s="181"/>
      <c r="B134" s="85"/>
      <c r="C134" s="186"/>
      <c r="D134" s="564"/>
      <c r="E134" s="112"/>
      <c r="F134" s="112"/>
      <c r="G134" s="559"/>
      <c r="H134" s="541"/>
      <c r="I134" s="541"/>
      <c r="J134" s="541"/>
      <c r="K134" s="377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  <c r="AM134" s="414"/>
      <c r="AN134" s="414"/>
      <c r="AO134" s="414"/>
      <c r="AP134" s="414"/>
      <c r="AQ134" s="414"/>
      <c r="AR134" s="414"/>
      <c r="AS134" s="414"/>
      <c r="AT134" s="414"/>
      <c r="AU134" s="414"/>
      <c r="AV134" s="414"/>
      <c r="AW134" s="414"/>
      <c r="AX134" s="414"/>
      <c r="AY134" s="414"/>
      <c r="AZ134" s="414"/>
      <c r="BA134" s="414"/>
      <c r="BB134" s="414"/>
      <c r="BC134" s="414"/>
      <c r="BD134" s="414"/>
      <c r="BE134" s="414"/>
      <c r="BF134" s="414"/>
      <c r="BG134" s="414"/>
      <c r="BH134" s="414"/>
      <c r="BI134" s="414"/>
      <c r="BJ134" s="414"/>
      <c r="BK134" s="414"/>
      <c r="BL134" s="414"/>
      <c r="BM134" s="414"/>
      <c r="BN134" s="414"/>
      <c r="BO134" s="414"/>
      <c r="BP134" s="414"/>
      <c r="BQ134" s="414"/>
      <c r="BR134" s="414"/>
      <c r="BS134" s="414"/>
      <c r="BT134" s="414"/>
      <c r="BU134" s="414"/>
      <c r="BV134" s="414"/>
      <c r="BW134" s="414"/>
      <c r="BX134" s="414"/>
      <c r="BY134" s="414"/>
      <c r="BZ134" s="414"/>
      <c r="CA134" s="414"/>
      <c r="CB134" s="414"/>
      <c r="CC134" s="414"/>
      <c r="CD134" s="414"/>
      <c r="CE134" s="414"/>
      <c r="CF134" s="414"/>
    </row>
    <row r="135" spans="1:84" s="367" customFormat="1" ht="15.75">
      <c r="A135" s="181"/>
      <c r="B135" s="85"/>
      <c r="C135" s="186"/>
      <c r="D135" s="564"/>
      <c r="E135" s="112"/>
      <c r="F135" s="112"/>
      <c r="G135" s="559"/>
      <c r="H135" s="541"/>
      <c r="I135" s="541"/>
      <c r="J135" s="541"/>
      <c r="K135" s="377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  <c r="AM135" s="414"/>
      <c r="AN135" s="414"/>
      <c r="AO135" s="414"/>
      <c r="AP135" s="414"/>
      <c r="AQ135" s="414"/>
      <c r="AR135" s="414"/>
      <c r="AS135" s="414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414"/>
      <c r="BK135" s="414"/>
      <c r="BL135" s="414"/>
      <c r="BM135" s="414"/>
      <c r="BN135" s="414"/>
      <c r="BO135" s="414"/>
      <c r="BP135" s="414"/>
      <c r="BQ135" s="414"/>
      <c r="BR135" s="414"/>
      <c r="BS135" s="414"/>
      <c r="BT135" s="414"/>
      <c r="BU135" s="414"/>
      <c r="BV135" s="414"/>
      <c r="BW135" s="414"/>
      <c r="BX135" s="414"/>
      <c r="BY135" s="414"/>
      <c r="BZ135" s="414"/>
      <c r="CA135" s="414"/>
      <c r="CB135" s="414"/>
      <c r="CC135" s="414"/>
      <c r="CD135" s="414"/>
      <c r="CE135" s="414"/>
      <c r="CF135" s="414"/>
    </row>
    <row r="136" spans="1:84" s="367" customFormat="1" ht="25.5">
      <c r="A136" s="181"/>
      <c r="B136" s="312" t="s">
        <v>262</v>
      </c>
      <c r="C136" s="186"/>
      <c r="D136" s="564"/>
      <c r="E136" s="112"/>
      <c r="F136" s="112"/>
      <c r="G136" s="559"/>
      <c r="H136" s="541">
        <f>639+18650</f>
        <v>19289</v>
      </c>
      <c r="I136" s="541">
        <f>20289</f>
        <v>20289</v>
      </c>
      <c r="J136" s="541"/>
      <c r="K136" s="377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  <c r="AM136" s="414"/>
      <c r="AN136" s="414"/>
      <c r="AO136" s="414"/>
      <c r="AP136" s="414"/>
      <c r="AQ136" s="414"/>
      <c r="AR136" s="414"/>
      <c r="AS136" s="414"/>
      <c r="AT136" s="414"/>
      <c r="AU136" s="414"/>
      <c r="AV136" s="414"/>
      <c r="AW136" s="414"/>
      <c r="AX136" s="414"/>
      <c r="AY136" s="414"/>
      <c r="AZ136" s="414"/>
      <c r="BA136" s="414"/>
      <c r="BB136" s="414"/>
      <c r="BC136" s="414"/>
      <c r="BD136" s="414"/>
      <c r="BE136" s="414"/>
      <c r="BF136" s="414"/>
      <c r="BG136" s="414"/>
      <c r="BH136" s="414"/>
      <c r="BI136" s="414"/>
      <c r="BJ136" s="414"/>
      <c r="BK136" s="414"/>
      <c r="BL136" s="414"/>
      <c r="BM136" s="414"/>
      <c r="BN136" s="414"/>
      <c r="BO136" s="414"/>
      <c r="BP136" s="414"/>
      <c r="BQ136" s="414"/>
      <c r="BR136" s="414"/>
      <c r="BS136" s="414"/>
      <c r="BT136" s="414"/>
      <c r="BU136" s="414"/>
      <c r="BV136" s="414"/>
      <c r="BW136" s="414"/>
      <c r="BX136" s="414"/>
      <c r="BY136" s="414"/>
      <c r="BZ136" s="414"/>
      <c r="CA136" s="414"/>
      <c r="CB136" s="414"/>
      <c r="CC136" s="414"/>
      <c r="CD136" s="414"/>
      <c r="CE136" s="414"/>
      <c r="CF136" s="414"/>
    </row>
    <row r="137" spans="1:84" s="367" customFormat="1" ht="15.75">
      <c r="A137" s="181"/>
      <c r="B137" s="85"/>
      <c r="C137" s="186"/>
      <c r="D137" s="564"/>
      <c r="E137" s="112"/>
      <c r="F137" s="112"/>
      <c r="G137" s="559"/>
      <c r="H137" s="541"/>
      <c r="I137" s="541"/>
      <c r="J137" s="541"/>
      <c r="K137" s="377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  <c r="AA137" s="414"/>
      <c r="AB137" s="414"/>
      <c r="AC137" s="414"/>
      <c r="AD137" s="414"/>
      <c r="AE137" s="414"/>
      <c r="AF137" s="414"/>
      <c r="AG137" s="414"/>
      <c r="AH137" s="414"/>
      <c r="AI137" s="414"/>
      <c r="AJ137" s="414"/>
      <c r="AK137" s="414"/>
      <c r="AL137" s="414"/>
      <c r="AM137" s="414"/>
      <c r="AN137" s="414"/>
      <c r="AO137" s="414"/>
      <c r="AP137" s="414"/>
      <c r="AQ137" s="414"/>
      <c r="AR137" s="414"/>
      <c r="AS137" s="414"/>
      <c r="AT137" s="414"/>
      <c r="AU137" s="414"/>
      <c r="AV137" s="414"/>
      <c r="AW137" s="414"/>
      <c r="AX137" s="414"/>
      <c r="AY137" s="414"/>
      <c r="AZ137" s="414"/>
      <c r="BA137" s="414"/>
      <c r="BB137" s="414"/>
      <c r="BC137" s="414"/>
      <c r="BD137" s="414"/>
      <c r="BE137" s="414"/>
      <c r="BF137" s="414"/>
      <c r="BG137" s="414"/>
      <c r="BH137" s="414"/>
      <c r="BI137" s="414"/>
      <c r="BJ137" s="414"/>
      <c r="BK137" s="414"/>
      <c r="BL137" s="414"/>
      <c r="BM137" s="414"/>
      <c r="BN137" s="414"/>
      <c r="BO137" s="414"/>
      <c r="BP137" s="414"/>
      <c r="BQ137" s="414"/>
      <c r="BR137" s="414"/>
      <c r="BS137" s="414"/>
      <c r="BT137" s="414"/>
      <c r="BU137" s="414"/>
      <c r="BV137" s="414"/>
      <c r="BW137" s="414"/>
      <c r="BX137" s="414"/>
      <c r="BY137" s="414"/>
      <c r="BZ137" s="414"/>
      <c r="CA137" s="414"/>
      <c r="CB137" s="414"/>
      <c r="CC137" s="414"/>
      <c r="CD137" s="414"/>
      <c r="CE137" s="414"/>
      <c r="CF137" s="414"/>
    </row>
    <row r="138" spans="1:84" s="395" customFormat="1">
      <c r="A138" s="389"/>
      <c r="B138" s="390" t="s">
        <v>304</v>
      </c>
      <c r="C138" s="460"/>
      <c r="D138" s="392">
        <f>ROUND(D7+D24+D54+D58,0)</f>
        <v>310445</v>
      </c>
      <c r="E138" s="392">
        <f>ROUND(E7+E24+E54+E58,0)</f>
        <v>332513</v>
      </c>
      <c r="F138" s="392">
        <f>ROUND(F7+F24+F54+F58,0)</f>
        <v>335119</v>
      </c>
      <c r="G138" s="393">
        <f>F138/E138*100</f>
        <v>100.78372875646969</v>
      </c>
      <c r="H138" s="394">
        <f>ROUND(H7+H24+H54+H58,0)</f>
        <v>419912</v>
      </c>
      <c r="I138" s="394">
        <f>ROUND(I7+I24+I54+I58,0)</f>
        <v>428724</v>
      </c>
      <c r="J138" s="394">
        <f>ROUND(J7+J24+J54+J58,0)</f>
        <v>396348</v>
      </c>
      <c r="K138" s="393">
        <f>J138/I138*100</f>
        <v>92.448288409326281</v>
      </c>
      <c r="L138" s="309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34"/>
      <c r="BQ138" s="234"/>
      <c r="BR138" s="234"/>
      <c r="BS138" s="234"/>
      <c r="BT138" s="234"/>
      <c r="BU138" s="234"/>
      <c r="BV138" s="234"/>
      <c r="BW138" s="234"/>
      <c r="BX138" s="234"/>
      <c r="BY138" s="234"/>
      <c r="BZ138" s="234"/>
      <c r="CA138" s="234"/>
      <c r="CB138" s="234"/>
      <c r="CC138" s="234"/>
      <c r="CD138" s="234"/>
      <c r="CE138" s="234"/>
      <c r="CF138" s="234"/>
    </row>
    <row r="139" spans="1:84">
      <c r="A139" s="396"/>
      <c r="B139" s="397"/>
      <c r="E139" s="309"/>
      <c r="F139" s="309"/>
      <c r="G139" s="398"/>
      <c r="H139" s="309"/>
      <c r="I139" s="309"/>
      <c r="J139" s="309"/>
      <c r="K139" s="309"/>
      <c r="L139" s="418"/>
    </row>
    <row r="140" spans="1:84">
      <c r="D140" s="401"/>
      <c r="E140" s="402"/>
      <c r="F140" s="402"/>
      <c r="G140" s="235" t="s">
        <v>329</v>
      </c>
      <c r="H140" s="403">
        <v>1570815</v>
      </c>
      <c r="I140" s="403">
        <v>1560484</v>
      </c>
      <c r="J140" s="403">
        <v>1540194</v>
      </c>
    </row>
    <row r="141" spans="1:84">
      <c r="H141" s="403">
        <f>H58-H140</f>
        <v>-1550561</v>
      </c>
      <c r="I141" s="403">
        <f t="shared" ref="I141:J141" si="30">I58-I140</f>
        <v>-1537834</v>
      </c>
      <c r="J141" s="403">
        <f t="shared" si="30"/>
        <v>-1537833</v>
      </c>
    </row>
    <row r="142" spans="1:84">
      <c r="D142" s="404"/>
      <c r="E142" s="405"/>
      <c r="F142" s="405" t="s">
        <v>331</v>
      </c>
      <c r="G142" s="235" t="s">
        <v>330</v>
      </c>
      <c r="H142" s="403">
        <f>765+38</f>
        <v>803</v>
      </c>
      <c r="I142" s="403">
        <v>64</v>
      </c>
      <c r="J142" s="403"/>
    </row>
    <row r="143" spans="1:84">
      <c r="F143" s="234" t="s">
        <v>332</v>
      </c>
      <c r="G143" s="235" t="s">
        <v>330</v>
      </c>
      <c r="H143" s="403">
        <v>803</v>
      </c>
      <c r="I143" s="403">
        <f>2860+140</f>
        <v>3000</v>
      </c>
      <c r="J143" s="403">
        <f>2804+132</f>
        <v>2936</v>
      </c>
    </row>
  </sheetData>
  <mergeCells count="5">
    <mergeCell ref="A1:K2"/>
    <mergeCell ref="A4:A5"/>
    <mergeCell ref="B4:B5"/>
    <mergeCell ref="C4:G4"/>
    <mergeCell ref="H4:K4"/>
  </mergeCells>
  <pageMargins left="0.11811023622047245" right="0.11811023622047245" top="0.15748031496062992" bottom="0.15748031496062992" header="0.31496062992125984" footer="0.31496062992125984"/>
  <pageSetup paperSize="9" scale="48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CF142"/>
  <sheetViews>
    <sheetView topLeftCell="A76" zoomScale="75" zoomScaleNormal="75" workbookViewId="0">
      <selection activeCell="E103" sqref="E103"/>
    </sheetView>
  </sheetViews>
  <sheetFormatPr defaultColWidth="8" defaultRowHeight="16.5"/>
  <cols>
    <col min="1" max="1" width="6" style="231" customWidth="1"/>
    <col min="2" max="2" width="99.140625" style="601" customWidth="1"/>
    <col min="3" max="3" width="33.42578125" style="453" customWidth="1"/>
    <col min="4" max="4" width="18.5703125" style="233" customWidth="1"/>
    <col min="5" max="5" width="15.7109375" style="234" customWidth="1"/>
    <col min="6" max="6" width="16" style="234" customWidth="1"/>
    <col min="7" max="7" width="13.42578125" style="235" customWidth="1"/>
    <col min="8" max="8" width="17.42578125" style="234" customWidth="1"/>
    <col min="9" max="9" width="16.85546875" style="234" customWidth="1"/>
    <col min="10" max="10" width="17.140625" style="234" customWidth="1"/>
    <col min="11" max="11" width="13" style="234" customWidth="1"/>
    <col min="12" max="12" width="17.42578125" style="234" customWidth="1"/>
    <col min="13" max="13" width="11.42578125" style="234" bestFit="1" customWidth="1"/>
    <col min="14" max="14" width="14" style="234" bestFit="1" customWidth="1"/>
    <col min="15" max="15" width="15.5703125" style="234" customWidth="1"/>
    <col min="16" max="84" width="8" style="234"/>
    <col min="85" max="16384" width="8" style="230"/>
  </cols>
  <sheetData>
    <row r="1" spans="1:84">
      <c r="A1" s="837" t="s">
        <v>317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</row>
    <row r="2" spans="1:84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</row>
    <row r="4" spans="1:84" s="232" customFormat="1" ht="15.75">
      <c r="A4" s="843" t="s">
        <v>0</v>
      </c>
      <c r="B4" s="845" t="s">
        <v>1</v>
      </c>
      <c r="C4" s="846" t="s">
        <v>244</v>
      </c>
      <c r="D4" s="846"/>
      <c r="E4" s="846"/>
      <c r="F4" s="846"/>
      <c r="G4" s="846"/>
      <c r="H4" s="829" t="s">
        <v>245</v>
      </c>
      <c r="I4" s="829"/>
      <c r="J4" s="829"/>
      <c r="K4" s="82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</row>
    <row r="5" spans="1:84" s="232" customFormat="1" ht="78.75">
      <c r="A5" s="844"/>
      <c r="B5" s="845"/>
      <c r="C5" s="612" t="s">
        <v>2</v>
      </c>
      <c r="D5" s="613" t="s">
        <v>316</v>
      </c>
      <c r="E5" s="612" t="s">
        <v>247</v>
      </c>
      <c r="F5" s="614" t="s">
        <v>318</v>
      </c>
      <c r="G5" s="615" t="s">
        <v>249</v>
      </c>
      <c r="H5" s="612" t="s">
        <v>316</v>
      </c>
      <c r="I5" s="612" t="s">
        <v>247</v>
      </c>
      <c r="J5" s="614" t="s">
        <v>318</v>
      </c>
      <c r="K5" s="615" t="s">
        <v>249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</row>
    <row r="6" spans="1:84" s="232" customFormat="1" ht="15">
      <c r="A6" s="240">
        <v>1</v>
      </c>
      <c r="B6" s="597">
        <v>2</v>
      </c>
      <c r="C6" s="455">
        <v>3</v>
      </c>
      <c r="D6" s="241">
        <v>4</v>
      </c>
      <c r="E6" s="241">
        <v>5</v>
      </c>
      <c r="F6" s="240">
        <v>6</v>
      </c>
      <c r="G6" s="241">
        <v>7</v>
      </c>
      <c r="H6" s="241">
        <v>8</v>
      </c>
      <c r="I6" s="240">
        <v>9</v>
      </c>
      <c r="J6" s="240">
        <v>10</v>
      </c>
      <c r="K6" s="240">
        <v>11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</row>
    <row r="7" spans="1:84" s="247" customFormat="1" ht="40.5">
      <c r="A7" s="242" t="s">
        <v>250</v>
      </c>
      <c r="B7" s="598" t="s">
        <v>251</v>
      </c>
      <c r="C7" s="456">
        <f>C8+C17</f>
        <v>0</v>
      </c>
      <c r="D7" s="245">
        <f>D8+D17</f>
        <v>215939</v>
      </c>
      <c r="E7" s="245">
        <f>E8+E17</f>
        <v>213548</v>
      </c>
      <c r="F7" s="245">
        <f>F8+F17</f>
        <v>215806.5</v>
      </c>
      <c r="G7" s="246">
        <f t="shared" ref="G7" si="0">G8</f>
        <v>100</v>
      </c>
      <c r="H7" s="245">
        <f>H8+H17</f>
        <v>236352</v>
      </c>
      <c r="I7" s="245">
        <f>I8+I17</f>
        <v>238912</v>
      </c>
      <c r="J7" s="245">
        <f>J8+J17</f>
        <v>231038</v>
      </c>
      <c r="K7" s="435">
        <f>J7/I7*100</f>
        <v>96.704225823734262</v>
      </c>
      <c r="L7" s="406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</row>
    <row r="8" spans="1:84" s="256" customFormat="1" ht="18.75">
      <c r="A8" s="248"/>
      <c r="B8" s="594" t="s">
        <v>319</v>
      </c>
      <c r="C8" s="54"/>
      <c r="D8" s="507">
        <f>D9+D125</f>
        <v>178271</v>
      </c>
      <c r="E8" s="507">
        <f>E9+E125</f>
        <v>175880</v>
      </c>
      <c r="F8" s="507">
        <f>F9+F125</f>
        <v>175880</v>
      </c>
      <c r="G8" s="508">
        <f>F8/E8*100</f>
        <v>100</v>
      </c>
      <c r="H8" s="509">
        <f>H9+H16</f>
        <v>71376</v>
      </c>
      <c r="I8" s="509">
        <f>I9+I16</f>
        <v>72779</v>
      </c>
      <c r="J8" s="509">
        <f>J9+J16</f>
        <v>69683</v>
      </c>
      <c r="K8" s="521">
        <f>J8/I8*100</f>
        <v>95.746025639264076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</row>
    <row r="9" spans="1:84" s="262" customFormat="1" ht="31.5">
      <c r="A9" s="248"/>
      <c r="B9" s="204" t="s">
        <v>254</v>
      </c>
      <c r="C9" s="522" t="s">
        <v>5</v>
      </c>
      <c r="D9" s="510">
        <f>SUM(D10:D15)</f>
        <v>178151</v>
      </c>
      <c r="E9" s="510">
        <f t="shared" ref="E9:F9" si="1">SUM(E10:E15)</f>
        <v>175155</v>
      </c>
      <c r="F9" s="510">
        <f t="shared" si="1"/>
        <v>175155</v>
      </c>
      <c r="G9" s="508">
        <f t="shared" ref="G9:G15" si="2">F9/E9*100</f>
        <v>100</v>
      </c>
      <c r="H9" s="511">
        <f>SUM(H10:H15)</f>
        <v>71066</v>
      </c>
      <c r="I9" s="511">
        <f>SUM(I10:I15)</f>
        <v>71328</v>
      </c>
      <c r="J9" s="511">
        <f>SUM(J10:J15)</f>
        <v>69683</v>
      </c>
      <c r="K9" s="523">
        <f t="shared" ref="K9:K52" si="3">J9/I9*100</f>
        <v>97.693752803947959</v>
      </c>
      <c r="L9" s="408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</row>
    <row r="10" spans="1:84" s="262" customFormat="1" ht="15.75">
      <c r="A10" s="248"/>
      <c r="B10" s="6" t="s">
        <v>154</v>
      </c>
      <c r="C10" s="437" t="s">
        <v>5</v>
      </c>
      <c r="D10" s="512">
        <v>23592</v>
      </c>
      <c r="E10" s="513">
        <v>22827</v>
      </c>
      <c r="F10" s="513">
        <v>22827</v>
      </c>
      <c r="G10" s="514">
        <f t="shared" si="2"/>
        <v>100</v>
      </c>
      <c r="H10" s="515">
        <v>13566</v>
      </c>
      <c r="I10" s="515">
        <v>14840</v>
      </c>
      <c r="J10" s="515">
        <v>14497</v>
      </c>
      <c r="K10" s="214">
        <f t="shared" si="3"/>
        <v>97.688679245283012</v>
      </c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</row>
    <row r="11" spans="1:84" s="270" customFormat="1" ht="15.75">
      <c r="A11" s="248"/>
      <c r="B11" s="6" t="s">
        <v>155</v>
      </c>
      <c r="C11" s="437" t="s">
        <v>5</v>
      </c>
      <c r="D11" s="512">
        <v>22582</v>
      </c>
      <c r="E11" s="513">
        <v>21569</v>
      </c>
      <c r="F11" s="513">
        <v>21569</v>
      </c>
      <c r="G11" s="514">
        <f t="shared" si="2"/>
        <v>100</v>
      </c>
      <c r="H11" s="515">
        <v>14181</v>
      </c>
      <c r="I11" s="515">
        <v>13859</v>
      </c>
      <c r="J11" s="515">
        <v>13540</v>
      </c>
      <c r="K11" s="214">
        <f t="shared" si="3"/>
        <v>97.698246626740755</v>
      </c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</row>
    <row r="12" spans="1:84" s="256" customFormat="1" ht="15.75">
      <c r="A12" s="263"/>
      <c r="B12" s="6" t="s">
        <v>255</v>
      </c>
      <c r="C12" s="437" t="s">
        <v>5</v>
      </c>
      <c r="D12" s="512">
        <v>12056</v>
      </c>
      <c r="E12" s="513">
        <v>11612</v>
      </c>
      <c r="F12" s="513">
        <v>11612</v>
      </c>
      <c r="G12" s="514">
        <f t="shared" si="2"/>
        <v>100</v>
      </c>
      <c r="H12" s="515">
        <v>11798</v>
      </c>
      <c r="I12" s="515">
        <v>11426</v>
      </c>
      <c r="J12" s="515">
        <v>11162</v>
      </c>
      <c r="K12" s="214">
        <f t="shared" si="3"/>
        <v>97.689480133029932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</row>
    <row r="13" spans="1:84" s="270" customFormat="1" ht="15.75">
      <c r="A13" s="248"/>
      <c r="B13" s="6" t="s">
        <v>158</v>
      </c>
      <c r="C13" s="437" t="s">
        <v>5</v>
      </c>
      <c r="D13" s="512">
        <v>6240</v>
      </c>
      <c r="E13" s="513">
        <v>5989</v>
      </c>
      <c r="F13" s="513">
        <v>5989</v>
      </c>
      <c r="G13" s="514">
        <f t="shared" si="2"/>
        <v>100</v>
      </c>
      <c r="H13" s="515">
        <v>6753</v>
      </c>
      <c r="I13" s="515">
        <v>6390</v>
      </c>
      <c r="J13" s="515">
        <v>6243</v>
      </c>
      <c r="K13" s="214">
        <f t="shared" si="3"/>
        <v>97.699530516431921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</row>
    <row r="14" spans="1:84" s="270" customFormat="1" ht="15.75">
      <c r="A14" s="263"/>
      <c r="B14" s="6" t="s">
        <v>157</v>
      </c>
      <c r="C14" s="437" t="s">
        <v>5</v>
      </c>
      <c r="D14" s="512">
        <v>49616</v>
      </c>
      <c r="E14" s="513">
        <v>48429</v>
      </c>
      <c r="F14" s="513">
        <v>48429</v>
      </c>
      <c r="G14" s="514">
        <f t="shared" si="2"/>
        <v>100</v>
      </c>
      <c r="H14" s="515">
        <v>14193</v>
      </c>
      <c r="I14" s="515">
        <v>14200</v>
      </c>
      <c r="J14" s="515">
        <v>13873</v>
      </c>
      <c r="K14" s="214">
        <f t="shared" si="3"/>
        <v>97.697183098591552</v>
      </c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</row>
    <row r="15" spans="1:84" s="270" customFormat="1" ht="15.75">
      <c r="A15" s="263"/>
      <c r="B15" s="6" t="s">
        <v>159</v>
      </c>
      <c r="C15" s="437" t="s">
        <v>5</v>
      </c>
      <c r="D15" s="512">
        <v>64065</v>
      </c>
      <c r="E15" s="513">
        <v>64729</v>
      </c>
      <c r="F15" s="513">
        <v>64729</v>
      </c>
      <c r="G15" s="514">
        <f t="shared" si="2"/>
        <v>100</v>
      </c>
      <c r="H15" s="515">
        <v>10575</v>
      </c>
      <c r="I15" s="515">
        <v>10613</v>
      </c>
      <c r="J15" s="515">
        <v>10368</v>
      </c>
      <c r="K15" s="214">
        <f t="shared" si="3"/>
        <v>97.691510411759168</v>
      </c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</row>
    <row r="16" spans="1:84" s="273" customFormat="1" ht="37.5">
      <c r="A16" s="263"/>
      <c r="B16" s="595" t="s">
        <v>262</v>
      </c>
      <c r="C16" s="437"/>
      <c r="D16" s="512"/>
      <c r="E16" s="513"/>
      <c r="F16" s="513"/>
      <c r="G16" s="514"/>
      <c r="H16" s="515">
        <f>71376.1-71066-0.1</f>
        <v>310.0000000000058</v>
      </c>
      <c r="I16" s="515">
        <f>72779.6-71328-0.6</f>
        <v>1451.0000000000059</v>
      </c>
      <c r="J16" s="515"/>
      <c r="K16" s="214">
        <f t="shared" si="3"/>
        <v>0</v>
      </c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</row>
    <row r="17" spans="1:84" s="247" customFormat="1" ht="18.75">
      <c r="A17" s="248"/>
      <c r="B17" s="594" t="s">
        <v>160</v>
      </c>
      <c r="C17" s="525"/>
      <c r="D17" s="516">
        <f>D18+D19+D20+D23+D22+D21</f>
        <v>37668</v>
      </c>
      <c r="E17" s="516">
        <f t="shared" ref="E17:F17" si="4">E18+E19+E20+E23+E22+E21</f>
        <v>37668</v>
      </c>
      <c r="F17" s="516">
        <f t="shared" si="4"/>
        <v>39926.5</v>
      </c>
      <c r="G17" s="508">
        <f t="shared" ref="G17:G52" si="5">F17/E17*100</f>
        <v>105.99580545821388</v>
      </c>
      <c r="H17" s="511">
        <f>SUM(H18:H23)</f>
        <v>164976</v>
      </c>
      <c r="I17" s="511">
        <f>SUM(I18:I23)</f>
        <v>166133</v>
      </c>
      <c r="J17" s="511">
        <f>SUM(J18:J23)</f>
        <v>161355</v>
      </c>
      <c r="K17" s="523">
        <f>J17/I17*100</f>
        <v>97.123991019243618</v>
      </c>
      <c r="L17" s="309">
        <f>4301.3</f>
        <v>4301.3</v>
      </c>
      <c r="M17" s="439">
        <f>(L17)/I17</f>
        <v>2.5890702027893314E-2</v>
      </c>
      <c r="N17" s="440">
        <f>1-M17</f>
        <v>0.97410929797210666</v>
      </c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</row>
    <row r="18" spans="1:84" s="247" customFormat="1" ht="18.75">
      <c r="A18" s="79" t="s">
        <v>4</v>
      </c>
      <c r="B18" s="80" t="s">
        <v>161</v>
      </c>
      <c r="C18" s="526" t="s">
        <v>162</v>
      </c>
      <c r="D18" s="118">
        <v>15</v>
      </c>
      <c r="E18" s="118">
        <v>15</v>
      </c>
      <c r="F18" s="118">
        <v>40</v>
      </c>
      <c r="G18" s="508">
        <f t="shared" si="5"/>
        <v>266.66666666666663</v>
      </c>
      <c r="H18" s="517">
        <v>12300</v>
      </c>
      <c r="I18" s="517">
        <f>12673.1-0.1</f>
        <v>12673</v>
      </c>
      <c r="J18" s="517">
        <f>12343.9+0.1</f>
        <v>12344</v>
      </c>
      <c r="K18" s="523">
        <f t="shared" si="3"/>
        <v>97.403929614140296</v>
      </c>
      <c r="L18" s="309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</row>
    <row r="19" spans="1:84" s="247" customFormat="1" ht="18.75">
      <c r="A19" s="82" t="s">
        <v>6</v>
      </c>
      <c r="B19" s="83" t="s">
        <v>164</v>
      </c>
      <c r="C19" s="526" t="s">
        <v>165</v>
      </c>
      <c r="D19" s="118">
        <v>37600</v>
      </c>
      <c r="E19" s="118">
        <v>37600</v>
      </c>
      <c r="F19" s="118">
        <v>39812</v>
      </c>
      <c r="G19" s="508">
        <f t="shared" si="5"/>
        <v>105.88297872340426</v>
      </c>
      <c r="H19" s="517">
        <v>48349</v>
      </c>
      <c r="I19" s="517">
        <f>47169.2-0.2</f>
        <v>47169</v>
      </c>
      <c r="J19" s="517">
        <f>45944.2-0.2</f>
        <v>45944</v>
      </c>
      <c r="K19" s="523">
        <f t="shared" si="3"/>
        <v>97.402955330831688</v>
      </c>
      <c r="L19" s="309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</row>
    <row r="20" spans="1:84" s="247" customFormat="1" ht="32.25">
      <c r="A20" s="79" t="s">
        <v>8</v>
      </c>
      <c r="B20" s="84" t="s">
        <v>166</v>
      </c>
      <c r="C20" s="526" t="s">
        <v>167</v>
      </c>
      <c r="D20" s="118">
        <v>23</v>
      </c>
      <c r="E20" s="118">
        <v>23</v>
      </c>
      <c r="F20" s="118">
        <v>24.5</v>
      </c>
      <c r="G20" s="508">
        <f t="shared" si="5"/>
        <v>106.5217391304348</v>
      </c>
      <c r="H20" s="517">
        <v>95783</v>
      </c>
      <c r="I20" s="517">
        <f>101696.9+0.1</f>
        <v>101697</v>
      </c>
      <c r="J20" s="517">
        <f>99056.4-0.4</f>
        <v>99056</v>
      </c>
      <c r="K20" s="523">
        <f t="shared" si="3"/>
        <v>97.403069903733638</v>
      </c>
      <c r="L20" s="309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</row>
    <row r="21" spans="1:84" s="247" customFormat="1" ht="48">
      <c r="A21" s="79" t="s">
        <v>18</v>
      </c>
      <c r="B21" s="84" t="s">
        <v>168</v>
      </c>
      <c r="C21" s="526" t="s">
        <v>185</v>
      </c>
      <c r="D21" s="118">
        <v>20</v>
      </c>
      <c r="E21" s="118">
        <v>20</v>
      </c>
      <c r="F21" s="118">
        <v>22</v>
      </c>
      <c r="G21" s="508">
        <f t="shared" si="5"/>
        <v>110.00000000000001</v>
      </c>
      <c r="H21" s="517">
        <v>2692</v>
      </c>
      <c r="I21" s="517">
        <f>4117.7/30*20-0.1</f>
        <v>2745.0333333333333</v>
      </c>
      <c r="J21" s="517">
        <f>2673.7+0.3</f>
        <v>2674</v>
      </c>
      <c r="K21" s="523">
        <f t="shared" si="3"/>
        <v>97.412296146980609</v>
      </c>
      <c r="L21" s="309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</row>
    <row r="22" spans="1:84" s="247" customFormat="1" ht="48">
      <c r="A22" s="79" t="s">
        <v>21</v>
      </c>
      <c r="B22" s="84" t="s">
        <v>168</v>
      </c>
      <c r="C22" s="526" t="s">
        <v>186</v>
      </c>
      <c r="D22" s="118">
        <v>10</v>
      </c>
      <c r="E22" s="118">
        <v>10</v>
      </c>
      <c r="F22" s="118">
        <v>28</v>
      </c>
      <c r="G22" s="508">
        <f t="shared" si="5"/>
        <v>280</v>
      </c>
      <c r="H22" s="517">
        <f>4038-2692</f>
        <v>1346</v>
      </c>
      <c r="I22" s="517">
        <f>4117.7/30*10+0.4</f>
        <v>1372.9666666666667</v>
      </c>
      <c r="J22" s="517">
        <f>1337.3-0.3</f>
        <v>1337</v>
      </c>
      <c r="K22" s="523">
        <f t="shared" si="3"/>
        <v>97.380368544999868</v>
      </c>
      <c r="L22" s="309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</row>
    <row r="23" spans="1:84" s="247" customFormat="1" ht="37.5">
      <c r="A23" s="279"/>
      <c r="B23" s="595" t="s">
        <v>262</v>
      </c>
      <c r="C23" s="527"/>
      <c r="D23" s="518"/>
      <c r="E23" s="518"/>
      <c r="F23" s="518"/>
      <c r="G23" s="519"/>
      <c r="H23" s="520">
        <f>164975.6-160470+0.4</f>
        <v>4506.0000000000055</v>
      </c>
      <c r="I23" s="520">
        <f>475.7+0.3</f>
        <v>476</v>
      </c>
      <c r="J23" s="520"/>
      <c r="K23" s="523"/>
      <c r="L23" s="309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</row>
    <row r="24" spans="1:84" s="291" customFormat="1" ht="40.5">
      <c r="A24" s="420" t="s">
        <v>95</v>
      </c>
      <c r="B24" s="602" t="s">
        <v>259</v>
      </c>
      <c r="C24" s="458"/>
      <c r="D24" s="288">
        <f>D25+D32</f>
        <v>35346</v>
      </c>
      <c r="E24" s="288">
        <f t="shared" ref="E24:F24" si="6">E25+E32</f>
        <v>36733</v>
      </c>
      <c r="F24" s="288">
        <f t="shared" si="6"/>
        <v>36974</v>
      </c>
      <c r="G24" s="289">
        <f t="shared" si="5"/>
        <v>100.65608580840117</v>
      </c>
      <c r="H24" s="288">
        <f>H25+H32</f>
        <v>150845</v>
      </c>
      <c r="I24" s="288">
        <f t="shared" ref="I24:J24" si="7">I25+I32</f>
        <v>153702</v>
      </c>
      <c r="J24" s="288">
        <f t="shared" si="7"/>
        <v>149489</v>
      </c>
      <c r="K24" s="289">
        <f t="shared" si="3"/>
        <v>97.258981665820869</v>
      </c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</row>
    <row r="25" spans="1:84" s="298" customFormat="1" ht="18.75">
      <c r="A25" s="292" t="s">
        <v>97</v>
      </c>
      <c r="B25" s="596" t="s">
        <v>34</v>
      </c>
      <c r="C25" s="459"/>
      <c r="D25" s="442">
        <f>D26</f>
        <v>35346</v>
      </c>
      <c r="E25" s="442">
        <f t="shared" ref="E25:F25" si="8">E26</f>
        <v>35346</v>
      </c>
      <c r="F25" s="442">
        <f t="shared" si="8"/>
        <v>35346</v>
      </c>
      <c r="G25" s="443">
        <f t="shared" si="5"/>
        <v>100</v>
      </c>
      <c r="H25" s="442">
        <f>H26</f>
        <v>1650</v>
      </c>
      <c r="I25" s="442">
        <f t="shared" ref="I25:J25" si="9">I26</f>
        <v>1650</v>
      </c>
      <c r="J25" s="442">
        <f t="shared" si="9"/>
        <v>1650</v>
      </c>
      <c r="K25" s="443">
        <f t="shared" si="3"/>
        <v>100</v>
      </c>
    </row>
    <row r="26" spans="1:84" s="298" customFormat="1" ht="31.5">
      <c r="A26" s="292"/>
      <c r="B26" s="444" t="s">
        <v>10</v>
      </c>
      <c r="C26" s="131"/>
      <c r="D26" s="132">
        <f>SUM(D27:D31)</f>
        <v>35346</v>
      </c>
      <c r="E26" s="132">
        <f>SUM(E27:E31)</f>
        <v>35346</v>
      </c>
      <c r="F26" s="132">
        <f>SUM(F27:F31)</f>
        <v>35346</v>
      </c>
      <c r="G26" s="445">
        <f t="shared" si="5"/>
        <v>100</v>
      </c>
      <c r="H26" s="132">
        <f t="shared" ref="H26:I26" si="10">SUM(H27:H31)</f>
        <v>1650</v>
      </c>
      <c r="I26" s="132">
        <f t="shared" si="10"/>
        <v>1650</v>
      </c>
      <c r="J26" s="132">
        <f>SUM(J27:J31)</f>
        <v>1650</v>
      </c>
      <c r="K26" s="445">
        <f t="shared" si="3"/>
        <v>100</v>
      </c>
    </row>
    <row r="27" spans="1:84" s="308" customFormat="1" ht="31.5">
      <c r="A27" s="301"/>
      <c r="B27" s="446" t="s">
        <v>11</v>
      </c>
      <c r="C27" s="528" t="s">
        <v>320</v>
      </c>
      <c r="D27" s="134">
        <v>1278</v>
      </c>
      <c r="E27" s="134">
        <v>1278</v>
      </c>
      <c r="F27" s="134">
        <v>1278</v>
      </c>
      <c r="G27" s="447">
        <f>F27/E27*100</f>
        <v>100</v>
      </c>
      <c r="H27" s="448">
        <v>129</v>
      </c>
      <c r="I27" s="448">
        <v>129</v>
      </c>
      <c r="J27" s="448">
        <v>129</v>
      </c>
      <c r="K27" s="447">
        <f>J27/I27*100</f>
        <v>100</v>
      </c>
    </row>
    <row r="28" spans="1:84" s="309" customFormat="1" ht="31.5">
      <c r="A28" s="301"/>
      <c r="B28" s="446" t="s">
        <v>13</v>
      </c>
      <c r="C28" s="528" t="s">
        <v>320</v>
      </c>
      <c r="D28" s="134">
        <v>5337</v>
      </c>
      <c r="E28" s="134">
        <v>5337</v>
      </c>
      <c r="F28" s="134">
        <v>5337</v>
      </c>
      <c r="G28" s="447">
        <f t="shared" si="5"/>
        <v>100</v>
      </c>
      <c r="H28" s="449">
        <v>334</v>
      </c>
      <c r="I28" s="449">
        <v>334</v>
      </c>
      <c r="J28" s="449">
        <v>334</v>
      </c>
      <c r="K28" s="447">
        <f t="shared" si="3"/>
        <v>100</v>
      </c>
    </row>
    <row r="29" spans="1:84" s="309" customFormat="1" ht="31.5">
      <c r="A29" s="301"/>
      <c r="B29" s="446" t="s">
        <v>15</v>
      </c>
      <c r="C29" s="528" t="s">
        <v>320</v>
      </c>
      <c r="D29" s="134">
        <v>8769</v>
      </c>
      <c r="E29" s="134">
        <v>8769</v>
      </c>
      <c r="F29" s="134">
        <v>8769</v>
      </c>
      <c r="G29" s="447">
        <f t="shared" si="5"/>
        <v>100</v>
      </c>
      <c r="H29" s="449">
        <v>337</v>
      </c>
      <c r="I29" s="449">
        <v>337</v>
      </c>
      <c r="J29" s="449">
        <v>337</v>
      </c>
      <c r="K29" s="447">
        <f t="shared" si="3"/>
        <v>100</v>
      </c>
    </row>
    <row r="30" spans="1:84" s="309" customFormat="1" ht="31.5">
      <c r="A30" s="301"/>
      <c r="B30" s="446" t="s">
        <v>17</v>
      </c>
      <c r="C30" s="528" t="s">
        <v>320</v>
      </c>
      <c r="D30" s="134">
        <v>12642</v>
      </c>
      <c r="E30" s="134">
        <v>12642</v>
      </c>
      <c r="F30" s="134">
        <v>12642</v>
      </c>
      <c r="G30" s="447">
        <f t="shared" si="5"/>
        <v>100</v>
      </c>
      <c r="H30" s="449">
        <v>506</v>
      </c>
      <c r="I30" s="449">
        <v>506</v>
      </c>
      <c r="J30" s="449">
        <v>506</v>
      </c>
      <c r="K30" s="447">
        <f t="shared" si="3"/>
        <v>100</v>
      </c>
    </row>
    <row r="31" spans="1:84" s="309" customFormat="1" ht="31.5">
      <c r="A31" s="301"/>
      <c r="B31" s="446" t="s">
        <v>23</v>
      </c>
      <c r="C31" s="528" t="s">
        <v>320</v>
      </c>
      <c r="D31" s="134">
        <v>7320</v>
      </c>
      <c r="E31" s="134">
        <v>7320</v>
      </c>
      <c r="F31" s="134">
        <v>7320</v>
      </c>
      <c r="G31" s="447">
        <f>F31/E31*100</f>
        <v>100</v>
      </c>
      <c r="H31" s="449">
        <v>344</v>
      </c>
      <c r="I31" s="449">
        <v>344</v>
      </c>
      <c r="J31" s="449">
        <v>344</v>
      </c>
      <c r="K31" s="447">
        <f>J31/I31*100</f>
        <v>100</v>
      </c>
    </row>
    <row r="32" spans="1:84" s="298" customFormat="1" ht="18.75">
      <c r="A32" s="292" t="s">
        <v>99</v>
      </c>
      <c r="B32" s="596" t="s">
        <v>39</v>
      </c>
      <c r="C32" s="441"/>
      <c r="D32" s="421">
        <f>D33+D42+D48+D49+D50+D51+D52+D53</f>
        <v>0</v>
      </c>
      <c r="E32" s="421">
        <f t="shared" ref="E32:F32" si="11">E33+E42+E48+E49+E50+E51+E52+E53</f>
        <v>1387</v>
      </c>
      <c r="F32" s="421">
        <f t="shared" si="11"/>
        <v>1628</v>
      </c>
      <c r="G32" s="443">
        <f t="shared" si="5"/>
        <v>117.37563085796683</v>
      </c>
      <c r="H32" s="421">
        <f>H33+H42+H48+H49+H50+H51+H52+H53</f>
        <v>149195</v>
      </c>
      <c r="I32" s="421">
        <f t="shared" ref="I32" si="12">I33+I42+I48+I49+I50+I51+I52+I53</f>
        <v>152052</v>
      </c>
      <c r="J32" s="421">
        <f t="shared" ref="J32" si="13">J33+J42+J48+J49+J50+J51+J52+J53</f>
        <v>147839</v>
      </c>
      <c r="K32" s="443">
        <f t="shared" si="3"/>
        <v>97.229237366164213</v>
      </c>
    </row>
    <row r="33" spans="1:11" s="298" customFormat="1" ht="63">
      <c r="A33" s="292"/>
      <c r="B33" s="444" t="s">
        <v>42</v>
      </c>
      <c r="C33" s="528" t="s">
        <v>321</v>
      </c>
      <c r="D33" s="132">
        <f>SUM(D34:D41)</f>
        <v>0</v>
      </c>
      <c r="E33" s="132">
        <f>SUM(E34:E41)</f>
        <v>750</v>
      </c>
      <c r="F33" s="132">
        <f>SUM(F34:F41)</f>
        <v>921</v>
      </c>
      <c r="G33" s="445">
        <f t="shared" si="5"/>
        <v>122.8</v>
      </c>
      <c r="H33" s="132">
        <f>SUM(H34:H41)</f>
        <v>0</v>
      </c>
      <c r="I33" s="132">
        <f>SUM(I34:I41)</f>
        <v>104270</v>
      </c>
      <c r="J33" s="132">
        <f>SUM(J34:J41)</f>
        <v>101119</v>
      </c>
      <c r="K33" s="445">
        <f t="shared" si="3"/>
        <v>96.978037786515785</v>
      </c>
    </row>
    <row r="34" spans="1:11" s="298" customFormat="1" ht="63">
      <c r="A34" s="292"/>
      <c r="B34" s="446" t="s">
        <v>43</v>
      </c>
      <c r="C34" s="528" t="s">
        <v>321</v>
      </c>
      <c r="D34" s="450"/>
      <c r="E34" s="134">
        <f>167+42</f>
        <v>209</v>
      </c>
      <c r="F34" s="134">
        <f>219+49</f>
        <v>268</v>
      </c>
      <c r="G34" s="445">
        <f t="shared" si="5"/>
        <v>128.22966507177034</v>
      </c>
      <c r="H34" s="451"/>
      <c r="I34" s="451">
        <v>28472</v>
      </c>
      <c r="J34" s="451">
        <v>26381</v>
      </c>
      <c r="K34" s="445">
        <f t="shared" si="3"/>
        <v>92.655942680528241</v>
      </c>
    </row>
    <row r="35" spans="1:11" s="298" customFormat="1" ht="63">
      <c r="A35" s="292"/>
      <c r="B35" s="446" t="s">
        <v>45</v>
      </c>
      <c r="C35" s="528" t="s">
        <v>321</v>
      </c>
      <c r="D35" s="450"/>
      <c r="E35" s="134">
        <f>140+72</f>
        <v>212</v>
      </c>
      <c r="F35" s="134">
        <f>150+89</f>
        <v>239</v>
      </c>
      <c r="G35" s="445">
        <f t="shared" si="5"/>
        <v>112.73584905660377</v>
      </c>
      <c r="H35" s="451"/>
      <c r="I35" s="451">
        <v>27050</v>
      </c>
      <c r="J35" s="451">
        <v>25990</v>
      </c>
      <c r="K35" s="445">
        <f t="shared" si="3"/>
        <v>96.081330868761555</v>
      </c>
    </row>
    <row r="36" spans="1:11" s="298" customFormat="1" ht="63">
      <c r="A36" s="292"/>
      <c r="B36" s="446" t="s">
        <v>46</v>
      </c>
      <c r="C36" s="528" t="s">
        <v>321</v>
      </c>
      <c r="D36" s="450"/>
      <c r="E36" s="134">
        <f>32+48</f>
        <v>80</v>
      </c>
      <c r="F36" s="134">
        <f>39+61</f>
        <v>100</v>
      </c>
      <c r="G36" s="445">
        <f t="shared" si="5"/>
        <v>125</v>
      </c>
      <c r="H36" s="451"/>
      <c r="I36" s="451">
        <v>11032</v>
      </c>
      <c r="J36" s="451">
        <v>11032</v>
      </c>
      <c r="K36" s="445">
        <f t="shared" si="3"/>
        <v>100</v>
      </c>
    </row>
    <row r="37" spans="1:11" s="298" customFormat="1" ht="63">
      <c r="A37" s="292"/>
      <c r="B37" s="446" t="s">
        <v>48</v>
      </c>
      <c r="C37" s="528" t="s">
        <v>321</v>
      </c>
      <c r="D37" s="450"/>
      <c r="E37" s="134">
        <f>80+12</f>
        <v>92</v>
      </c>
      <c r="F37" s="134">
        <f>80+16</f>
        <v>96</v>
      </c>
      <c r="G37" s="445">
        <f t="shared" si="5"/>
        <v>104.34782608695652</v>
      </c>
      <c r="H37" s="451"/>
      <c r="I37" s="451">
        <v>12580</v>
      </c>
      <c r="J37" s="451">
        <v>12580</v>
      </c>
      <c r="K37" s="445">
        <f t="shared" si="3"/>
        <v>100</v>
      </c>
    </row>
    <row r="38" spans="1:11" s="298" customFormat="1" ht="63">
      <c r="A38" s="292"/>
      <c r="B38" s="446" t="s">
        <v>49</v>
      </c>
      <c r="C38" s="528" t="s">
        <v>321</v>
      </c>
      <c r="D38" s="450"/>
      <c r="E38" s="134">
        <f>20+27</f>
        <v>47</v>
      </c>
      <c r="F38" s="134">
        <f>32+27</f>
        <v>59</v>
      </c>
      <c r="G38" s="445">
        <f t="shared" si="5"/>
        <v>125.53191489361701</v>
      </c>
      <c r="H38" s="451"/>
      <c r="I38" s="451">
        <v>9237</v>
      </c>
      <c r="J38" s="451">
        <v>9237</v>
      </c>
      <c r="K38" s="445">
        <f t="shared" si="3"/>
        <v>100</v>
      </c>
    </row>
    <row r="39" spans="1:11" s="298" customFormat="1" ht="63">
      <c r="A39" s="292"/>
      <c r="B39" s="446" t="s">
        <v>50</v>
      </c>
      <c r="C39" s="528" t="s">
        <v>321</v>
      </c>
      <c r="D39" s="450"/>
      <c r="E39" s="134">
        <f>42+30</f>
        <v>72</v>
      </c>
      <c r="F39" s="134">
        <f>76+41</f>
        <v>117</v>
      </c>
      <c r="G39" s="445">
        <f t="shared" si="5"/>
        <v>162.5</v>
      </c>
      <c r="H39" s="451"/>
      <c r="I39" s="451">
        <v>11204</v>
      </c>
      <c r="J39" s="451">
        <v>11204</v>
      </c>
      <c r="K39" s="445">
        <f t="shared" si="3"/>
        <v>100</v>
      </c>
    </row>
    <row r="40" spans="1:11" s="298" customFormat="1" ht="63">
      <c r="A40" s="292"/>
      <c r="B40" s="446" t="s">
        <v>51</v>
      </c>
      <c r="C40" s="528" t="s">
        <v>321</v>
      </c>
      <c r="D40" s="450"/>
      <c r="E40" s="134">
        <v>28</v>
      </c>
      <c r="F40" s="134">
        <v>30</v>
      </c>
      <c r="G40" s="445">
        <f t="shared" si="5"/>
        <v>107.14285714285714</v>
      </c>
      <c r="H40" s="451"/>
      <c r="I40" s="451">
        <v>3024</v>
      </c>
      <c r="J40" s="451">
        <v>3024</v>
      </c>
      <c r="K40" s="445">
        <f t="shared" si="3"/>
        <v>100</v>
      </c>
    </row>
    <row r="41" spans="1:11" s="298" customFormat="1" ht="63">
      <c r="A41" s="292"/>
      <c r="B41" s="446" t="s">
        <v>190</v>
      </c>
      <c r="C41" s="528" t="s">
        <v>321</v>
      </c>
      <c r="D41" s="450"/>
      <c r="E41" s="134">
        <v>10</v>
      </c>
      <c r="F41" s="134">
        <v>12</v>
      </c>
      <c r="G41" s="445">
        <f t="shared" si="5"/>
        <v>120</v>
      </c>
      <c r="H41" s="451"/>
      <c r="I41" s="451">
        <v>1671</v>
      </c>
      <c r="J41" s="451">
        <v>1671</v>
      </c>
      <c r="K41" s="445">
        <f t="shared" si="3"/>
        <v>100</v>
      </c>
    </row>
    <row r="42" spans="1:11" s="298" customFormat="1" ht="63">
      <c r="A42" s="292"/>
      <c r="B42" s="444" t="s">
        <v>52</v>
      </c>
      <c r="C42" s="528" t="s">
        <v>321</v>
      </c>
      <c r="D42" s="132">
        <f>SUM(D43:D47)</f>
        <v>0</v>
      </c>
      <c r="E42" s="132">
        <f>SUM(E43:E47)</f>
        <v>230</v>
      </c>
      <c r="F42" s="132">
        <f>SUM(F43:F47)</f>
        <v>297</v>
      </c>
      <c r="G42" s="445">
        <f t="shared" si="5"/>
        <v>129.13043478260872</v>
      </c>
      <c r="H42" s="132">
        <f>SUM(H43:H47)</f>
        <v>0</v>
      </c>
      <c r="I42" s="132">
        <f>SUM(I43:I47)</f>
        <v>39867</v>
      </c>
      <c r="J42" s="132">
        <f>SUM(J43:J47)</f>
        <v>38805</v>
      </c>
      <c r="K42" s="445">
        <f t="shared" si="3"/>
        <v>97.336142674392363</v>
      </c>
    </row>
    <row r="43" spans="1:11" s="298" customFormat="1" ht="63">
      <c r="A43" s="292"/>
      <c r="B43" s="446" t="s">
        <v>53</v>
      </c>
      <c r="C43" s="528" t="s">
        <v>321</v>
      </c>
      <c r="D43" s="450"/>
      <c r="E43" s="134">
        <f>100+42+4</f>
        <v>146</v>
      </c>
      <c r="F43" s="134">
        <f>112+66+5</f>
        <v>183</v>
      </c>
      <c r="G43" s="445">
        <f t="shared" si="5"/>
        <v>125.34246575342465</v>
      </c>
      <c r="H43" s="451"/>
      <c r="I43" s="451">
        <v>22128</v>
      </c>
      <c r="J43" s="451">
        <v>21066</v>
      </c>
      <c r="K43" s="445">
        <f t="shared" si="3"/>
        <v>95.200650759219087</v>
      </c>
    </row>
    <row r="44" spans="1:11" s="298" customFormat="1" ht="63">
      <c r="A44" s="292"/>
      <c r="B44" s="446" t="s">
        <v>54</v>
      </c>
      <c r="C44" s="528" t="s">
        <v>321</v>
      </c>
      <c r="D44" s="450"/>
      <c r="E44" s="134">
        <f>10+14</f>
        <v>24</v>
      </c>
      <c r="F44" s="134">
        <f>11+20</f>
        <v>31</v>
      </c>
      <c r="G44" s="445">
        <f t="shared" si="5"/>
        <v>129.16666666666669</v>
      </c>
      <c r="H44" s="451"/>
      <c r="I44" s="451">
        <v>6082</v>
      </c>
      <c r="J44" s="451">
        <v>6082</v>
      </c>
      <c r="K44" s="445">
        <f t="shared" si="3"/>
        <v>100</v>
      </c>
    </row>
    <row r="45" spans="1:11" s="298" customFormat="1" ht="63">
      <c r="A45" s="292"/>
      <c r="B45" s="446" t="s">
        <v>55</v>
      </c>
      <c r="C45" s="528" t="s">
        <v>321</v>
      </c>
      <c r="D45" s="450"/>
      <c r="E45" s="134">
        <f>26+6</f>
        <v>32</v>
      </c>
      <c r="F45" s="134">
        <f>34+6</f>
        <v>40</v>
      </c>
      <c r="G45" s="445">
        <f t="shared" si="5"/>
        <v>125</v>
      </c>
      <c r="H45" s="451"/>
      <c r="I45" s="451">
        <v>5690</v>
      </c>
      <c r="J45" s="451">
        <v>5690</v>
      </c>
      <c r="K45" s="445">
        <f t="shared" si="3"/>
        <v>100</v>
      </c>
    </row>
    <row r="46" spans="1:11" s="298" customFormat="1" ht="63">
      <c r="A46" s="292"/>
      <c r="B46" s="446" t="s">
        <v>56</v>
      </c>
      <c r="C46" s="528" t="s">
        <v>321</v>
      </c>
      <c r="D46" s="450"/>
      <c r="E46" s="134">
        <v>24</v>
      </c>
      <c r="F46" s="134">
        <v>39</v>
      </c>
      <c r="G46" s="445">
        <f t="shared" si="5"/>
        <v>162.5</v>
      </c>
      <c r="H46" s="451"/>
      <c r="I46" s="451">
        <v>1989</v>
      </c>
      <c r="J46" s="451">
        <v>1989</v>
      </c>
      <c r="K46" s="445">
        <f t="shared" si="3"/>
        <v>100</v>
      </c>
    </row>
    <row r="47" spans="1:11" s="298" customFormat="1" ht="63">
      <c r="A47" s="292"/>
      <c r="B47" s="446" t="s">
        <v>199</v>
      </c>
      <c r="C47" s="528" t="s">
        <v>321</v>
      </c>
      <c r="D47" s="450"/>
      <c r="E47" s="134">
        <v>4</v>
      </c>
      <c r="F47" s="134">
        <v>4</v>
      </c>
      <c r="G47" s="445">
        <f t="shared" si="5"/>
        <v>100</v>
      </c>
      <c r="H47" s="451"/>
      <c r="I47" s="451">
        <v>3978</v>
      </c>
      <c r="J47" s="451">
        <v>3978</v>
      </c>
      <c r="K47" s="445">
        <f t="shared" si="3"/>
        <v>100</v>
      </c>
    </row>
    <row r="48" spans="1:11" s="298" customFormat="1" ht="31.5">
      <c r="A48" s="292"/>
      <c r="B48" s="2" t="s">
        <v>19</v>
      </c>
      <c r="C48" s="136" t="s">
        <v>323</v>
      </c>
      <c r="D48" s="442"/>
      <c r="E48" s="132">
        <v>54</v>
      </c>
      <c r="F48" s="132">
        <v>54</v>
      </c>
      <c r="G48" s="445">
        <f t="shared" si="5"/>
        <v>100</v>
      </c>
      <c r="H48" s="451"/>
      <c r="I48" s="451">
        <v>2374</v>
      </c>
      <c r="J48" s="451">
        <v>2374</v>
      </c>
      <c r="K48" s="445">
        <f t="shared" si="3"/>
        <v>100</v>
      </c>
    </row>
    <row r="49" spans="1:84" s="298" customFormat="1" ht="31.5">
      <c r="A49" s="292"/>
      <c r="B49" s="2" t="s">
        <v>22</v>
      </c>
      <c r="C49" s="136" t="s">
        <v>323</v>
      </c>
      <c r="D49" s="442"/>
      <c r="E49" s="132">
        <v>9</v>
      </c>
      <c r="F49" s="132">
        <v>9</v>
      </c>
      <c r="G49" s="445">
        <f t="shared" si="5"/>
        <v>100</v>
      </c>
      <c r="H49" s="451"/>
      <c r="I49" s="451">
        <v>1583</v>
      </c>
      <c r="J49" s="451">
        <v>1583</v>
      </c>
      <c r="K49" s="445">
        <f t="shared" si="3"/>
        <v>100</v>
      </c>
    </row>
    <row r="50" spans="1:84" s="298" customFormat="1" ht="63">
      <c r="A50" s="292"/>
      <c r="B50" s="2" t="s">
        <v>40</v>
      </c>
      <c r="C50" s="136" t="s">
        <v>324</v>
      </c>
      <c r="D50" s="442"/>
      <c r="E50" s="132">
        <v>231</v>
      </c>
      <c r="F50" s="132">
        <v>231</v>
      </c>
      <c r="G50" s="445">
        <f t="shared" si="5"/>
        <v>100</v>
      </c>
      <c r="H50" s="451"/>
      <c r="I50" s="451">
        <v>792</v>
      </c>
      <c r="J50" s="451">
        <v>792</v>
      </c>
      <c r="K50" s="445">
        <f t="shared" si="3"/>
        <v>100</v>
      </c>
    </row>
    <row r="51" spans="1:84" s="298" customFormat="1" ht="47.25">
      <c r="A51" s="292"/>
      <c r="B51" s="2" t="s">
        <v>37</v>
      </c>
      <c r="C51" s="136" t="s">
        <v>323</v>
      </c>
      <c r="D51" s="442"/>
      <c r="E51" s="132">
        <v>3</v>
      </c>
      <c r="F51" s="132">
        <v>6</v>
      </c>
      <c r="G51" s="445">
        <f t="shared" si="5"/>
        <v>200</v>
      </c>
      <c r="H51" s="451"/>
      <c r="I51" s="451">
        <v>1979</v>
      </c>
      <c r="J51" s="451">
        <v>1979</v>
      </c>
      <c r="K51" s="445">
        <f t="shared" si="3"/>
        <v>100</v>
      </c>
    </row>
    <row r="52" spans="1:84" s="298" customFormat="1" ht="31.5">
      <c r="A52" s="292"/>
      <c r="B52" s="2" t="s">
        <v>38</v>
      </c>
      <c r="C52" s="136" t="s">
        <v>323</v>
      </c>
      <c r="D52" s="442"/>
      <c r="E52" s="132">
        <v>110</v>
      </c>
      <c r="F52" s="132">
        <v>110</v>
      </c>
      <c r="G52" s="445">
        <f t="shared" si="5"/>
        <v>100</v>
      </c>
      <c r="H52" s="451"/>
      <c r="I52" s="451">
        <v>1187</v>
      </c>
      <c r="J52" s="451">
        <v>1187</v>
      </c>
      <c r="K52" s="445">
        <f t="shared" si="3"/>
        <v>100</v>
      </c>
    </row>
    <row r="53" spans="1:84" s="298" customFormat="1" ht="37.5">
      <c r="A53" s="248"/>
      <c r="B53" s="595" t="s">
        <v>262</v>
      </c>
      <c r="C53" s="205"/>
      <c r="D53" s="592"/>
      <c r="E53" s="516"/>
      <c r="F53" s="516"/>
      <c r="G53" s="508"/>
      <c r="H53" s="592">
        <f>149834-639</f>
        <v>149195</v>
      </c>
      <c r="I53" s="517"/>
      <c r="J53" s="517"/>
      <c r="K53" s="593"/>
    </row>
    <row r="54" spans="1:84" s="318" customFormat="1" ht="40.5">
      <c r="A54" s="138" t="s">
        <v>264</v>
      </c>
      <c r="B54" s="598" t="s">
        <v>265</v>
      </c>
      <c r="C54" s="458"/>
      <c r="D54" s="315">
        <f t="shared" ref="D54:F54" si="14">D55</f>
        <v>59160</v>
      </c>
      <c r="E54" s="316">
        <f t="shared" si="14"/>
        <v>59160</v>
      </c>
      <c r="F54" s="316">
        <f t="shared" si="14"/>
        <v>59280</v>
      </c>
      <c r="G54" s="317">
        <f>F54/E54*100</f>
        <v>100.2028397565923</v>
      </c>
      <c r="H54" s="290">
        <f>H55+H57</f>
        <v>11822</v>
      </c>
      <c r="I54" s="290">
        <f t="shared" ref="I54:J54" si="15">I55</f>
        <v>11809</v>
      </c>
      <c r="J54" s="290">
        <f t="shared" si="15"/>
        <v>11809</v>
      </c>
      <c r="K54" s="289">
        <f t="shared" ref="K54:K56" si="16">J54/I54*100</f>
        <v>100</v>
      </c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</row>
    <row r="55" spans="1:84" s="247" customFormat="1" ht="18.75">
      <c r="A55" s="248"/>
      <c r="B55" s="594" t="s">
        <v>169</v>
      </c>
      <c r="C55" s="457"/>
      <c r="D55" s="319">
        <f>D56</f>
        <v>59160</v>
      </c>
      <c r="E55" s="275">
        <f>E56</f>
        <v>59160</v>
      </c>
      <c r="F55" s="275">
        <f>F56</f>
        <v>59280</v>
      </c>
      <c r="G55" s="253">
        <f>F55/E55*100</f>
        <v>100.2028397565923</v>
      </c>
      <c r="H55" s="320">
        <f>H56</f>
        <v>11561</v>
      </c>
      <c r="I55" s="320">
        <f>I56</f>
        <v>11809</v>
      </c>
      <c r="J55" s="320">
        <f>J56</f>
        <v>11809</v>
      </c>
      <c r="K55" s="261">
        <f t="shared" si="16"/>
        <v>100</v>
      </c>
      <c r="L55" s="309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</row>
    <row r="56" spans="1:84" s="247" customFormat="1" ht="18.75">
      <c r="A56" s="321"/>
      <c r="B56" s="322" t="s">
        <v>170</v>
      </c>
      <c r="C56" s="525" t="s">
        <v>266</v>
      </c>
      <c r="D56" s="324">
        <v>59160</v>
      </c>
      <c r="E56" s="325">
        <v>59160</v>
      </c>
      <c r="F56" s="325">
        <v>59280</v>
      </c>
      <c r="G56" s="326">
        <f>F56/E56*100</f>
        <v>100.2028397565923</v>
      </c>
      <c r="H56" s="320">
        <v>11561</v>
      </c>
      <c r="I56" s="320">
        <v>11809</v>
      </c>
      <c r="J56" s="320">
        <v>11809</v>
      </c>
      <c r="K56" s="327">
        <f t="shared" si="16"/>
        <v>100</v>
      </c>
      <c r="L56" s="309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</row>
    <row r="57" spans="1:84" s="247" customFormat="1" ht="37.5">
      <c r="A57" s="321"/>
      <c r="B57" s="595" t="s">
        <v>262</v>
      </c>
      <c r="C57" s="525"/>
      <c r="D57" s="324"/>
      <c r="E57" s="325"/>
      <c r="F57" s="325"/>
      <c r="G57" s="326"/>
      <c r="H57" s="320">
        <f>11822-11561</f>
        <v>261</v>
      </c>
      <c r="I57" s="320"/>
      <c r="J57" s="320"/>
      <c r="K57" s="327"/>
      <c r="L57" s="309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7"/>
    </row>
    <row r="58" spans="1:84" s="336" customFormat="1" ht="40.5">
      <c r="A58" s="138" t="s">
        <v>267</v>
      </c>
      <c r="B58" s="603" t="s">
        <v>272</v>
      </c>
      <c r="C58" s="314"/>
      <c r="D58" s="290">
        <f>D59+D103+D112+D118+D125+D126</f>
        <v>21829</v>
      </c>
      <c r="E58" s="290">
        <f t="shared" ref="E58:F58" si="17">E59+E103+E112+E118+E125+E126</f>
        <v>23798</v>
      </c>
      <c r="F58" s="290">
        <f t="shared" si="17"/>
        <v>23784</v>
      </c>
      <c r="G58" s="334">
        <f>F58/E58*100</f>
        <v>99.94117152701908</v>
      </c>
      <c r="H58" s="290">
        <f>H59+H103+H112+H118+H125+H126</f>
        <v>1571618</v>
      </c>
      <c r="I58" s="290">
        <f t="shared" ref="I58" si="18">I59+I103+I112+I118+I125+I126</f>
        <v>1563484</v>
      </c>
      <c r="J58" s="290">
        <f t="shared" ref="J58" si="19">J59+J103+J112+J118+J125+J126</f>
        <v>1543130</v>
      </c>
      <c r="K58" s="335">
        <f t="shared" ref="K58:K105" si="20">J58/I58*100</f>
        <v>98.698163844337401</v>
      </c>
      <c r="L58" s="652">
        <f>D58-E58</f>
        <v>-1969</v>
      </c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</row>
    <row r="59" spans="1:84" s="247" customFormat="1" ht="18.75">
      <c r="A59" s="337"/>
      <c r="B59" s="578" t="s">
        <v>273</v>
      </c>
      <c r="C59" s="339"/>
      <c r="D59" s="259">
        <f>D60+D71+D65+D78+D99+D101</f>
        <v>15317</v>
      </c>
      <c r="E59" s="259">
        <f>E60+E71+E65+E78+E99+E101</f>
        <v>16921</v>
      </c>
      <c r="F59" s="259">
        <f>F60+F71+F65+F78+F99+F101</f>
        <v>16921</v>
      </c>
      <c r="G59" s="259">
        <f>G60+G67+G77+G84+G101+G103+G83</f>
        <v>999.72624168947982</v>
      </c>
      <c r="H59" s="259">
        <f>H60+H65+H71+H78+H99+H101</f>
        <v>813016</v>
      </c>
      <c r="I59" s="259">
        <f>I60+I65+I71+I79+I83+I87+I91+I95+I101+I99</f>
        <v>774126</v>
      </c>
      <c r="J59" s="259">
        <f>J60+J65+J71+J79+J83+J87+J91+J95+J101+J99</f>
        <v>774126</v>
      </c>
      <c r="K59" s="579">
        <f t="shared" si="20"/>
        <v>100</v>
      </c>
      <c r="L59" s="624">
        <f>I59-J59</f>
        <v>0</v>
      </c>
      <c r="M59" s="413"/>
      <c r="N59" s="413"/>
      <c r="O59" s="413"/>
      <c r="P59" s="413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</row>
    <row r="60" spans="1:84" s="352" customFormat="1" ht="18.75">
      <c r="A60" s="342"/>
      <c r="B60" s="204" t="s">
        <v>125</v>
      </c>
      <c r="C60" s="222" t="s">
        <v>61</v>
      </c>
      <c r="D60" s="344">
        <f>SUM(D61:D64)</f>
        <v>2270</v>
      </c>
      <c r="E60" s="344">
        <f t="shared" ref="E60:F60" si="21">SUM(E61:E64)</f>
        <v>2263</v>
      </c>
      <c r="F60" s="344">
        <f t="shared" si="21"/>
        <v>2263</v>
      </c>
      <c r="G60" s="257">
        <f>F60/E60*100</f>
        <v>100</v>
      </c>
      <c r="H60" s="344">
        <f>SUM(H61:H64)</f>
        <v>257282</v>
      </c>
      <c r="I60" s="344">
        <f t="shared" ref="I60" si="22">SUM(I61:I64)</f>
        <v>256120</v>
      </c>
      <c r="J60" s="344">
        <f t="shared" ref="J60" si="23">SUM(J61:J64)</f>
        <v>256120</v>
      </c>
      <c r="K60" s="257">
        <f>J60/I60*100</f>
        <v>100</v>
      </c>
      <c r="L60" s="298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</row>
    <row r="61" spans="1:84" s="352" customFormat="1" ht="32.25">
      <c r="A61" s="348"/>
      <c r="B61" s="6" t="s">
        <v>334</v>
      </c>
      <c r="C61" s="136" t="s">
        <v>61</v>
      </c>
      <c r="D61" s="195">
        <v>94</v>
      </c>
      <c r="E61" s="575">
        <v>110</v>
      </c>
      <c r="F61" s="575">
        <v>110</v>
      </c>
      <c r="G61" s="264">
        <f t="shared" ref="G61:G106" si="24">F61/E61*100</f>
        <v>100</v>
      </c>
      <c r="H61" s="266">
        <v>13917</v>
      </c>
      <c r="I61" s="266">
        <v>16256</v>
      </c>
      <c r="J61" s="266">
        <v>16256</v>
      </c>
      <c r="K61" s="32">
        <f t="shared" si="20"/>
        <v>100</v>
      </c>
      <c r="L61" s="645">
        <f>H60+H65+H71+H101</f>
        <v>672470</v>
      </c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</row>
    <row r="62" spans="1:84" s="247" customFormat="1" ht="32.25">
      <c r="A62" s="348"/>
      <c r="B62" s="6" t="s">
        <v>335</v>
      </c>
      <c r="C62" s="136" t="s">
        <v>61</v>
      </c>
      <c r="D62" s="195">
        <v>2</v>
      </c>
      <c r="E62" s="575">
        <v>3</v>
      </c>
      <c r="F62" s="575">
        <v>3</v>
      </c>
      <c r="G62" s="264">
        <f t="shared" si="24"/>
        <v>100</v>
      </c>
      <c r="H62" s="266">
        <v>1578</v>
      </c>
      <c r="I62" s="266">
        <v>2328</v>
      </c>
      <c r="J62" s="266">
        <v>2328</v>
      </c>
      <c r="K62" s="32">
        <f t="shared" si="20"/>
        <v>100</v>
      </c>
      <c r="L62" s="309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</row>
    <row r="63" spans="1:84" s="247" customFormat="1" ht="18.75">
      <c r="A63" s="348"/>
      <c r="B63" s="6" t="s">
        <v>128</v>
      </c>
      <c r="C63" s="136" t="s">
        <v>61</v>
      </c>
      <c r="D63" s="195">
        <v>2171</v>
      </c>
      <c r="E63" s="575">
        <v>2147</v>
      </c>
      <c r="F63" s="575">
        <v>2147</v>
      </c>
      <c r="G63" s="264">
        <f t="shared" si="24"/>
        <v>100</v>
      </c>
      <c r="H63" s="642">
        <v>239420</v>
      </c>
      <c r="I63" s="266">
        <f>235209-1</f>
        <v>235208</v>
      </c>
      <c r="J63" s="266">
        <f>235209-1</f>
        <v>235208</v>
      </c>
      <c r="K63" s="32">
        <f t="shared" si="20"/>
        <v>100</v>
      </c>
      <c r="L63" s="309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</row>
    <row r="64" spans="1:84" s="352" customFormat="1" ht="18.75">
      <c r="A64" s="348"/>
      <c r="B64" s="6" t="s">
        <v>129</v>
      </c>
      <c r="C64" s="136" t="s">
        <v>61</v>
      </c>
      <c r="D64" s="195">
        <v>3</v>
      </c>
      <c r="E64" s="575">
        <v>3</v>
      </c>
      <c r="F64" s="575">
        <v>3</v>
      </c>
      <c r="G64" s="264">
        <f t="shared" si="24"/>
        <v>100</v>
      </c>
      <c r="H64" s="642">
        <v>2367</v>
      </c>
      <c r="I64" s="266">
        <v>2328</v>
      </c>
      <c r="J64" s="266">
        <v>2328</v>
      </c>
      <c r="K64" s="32">
        <f t="shared" si="20"/>
        <v>100</v>
      </c>
      <c r="L64" s="298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</row>
    <row r="65" spans="1:84" s="247" customFormat="1" ht="18.75">
      <c r="A65" s="348"/>
      <c r="B65" s="204" t="s">
        <v>130</v>
      </c>
      <c r="C65" s="212" t="s">
        <v>61</v>
      </c>
      <c r="D65" s="576">
        <f>SUM(D66:D70)</f>
        <v>2594</v>
      </c>
      <c r="E65" s="576">
        <f t="shared" ref="E65:F65" si="25">SUM(E66:E70)</f>
        <v>2571</v>
      </c>
      <c r="F65" s="576">
        <f t="shared" si="25"/>
        <v>2571</v>
      </c>
      <c r="G65" s="361">
        <f t="shared" si="24"/>
        <v>100</v>
      </c>
      <c r="H65" s="576">
        <f>SUM(H66:H70)</f>
        <v>334201</v>
      </c>
      <c r="I65" s="576">
        <f t="shared" ref="I65" si="26">SUM(I66:I70)</f>
        <v>329529</v>
      </c>
      <c r="J65" s="576">
        <f t="shared" ref="J65" si="27">SUM(J66:J70)</f>
        <v>329529</v>
      </c>
      <c r="K65" s="580">
        <f t="shared" si="20"/>
        <v>100</v>
      </c>
      <c r="L65" s="309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</row>
    <row r="66" spans="1:84" s="247" customFormat="1" ht="32.25">
      <c r="A66" s="348"/>
      <c r="B66" s="6" t="s">
        <v>336</v>
      </c>
      <c r="C66" s="136" t="s">
        <v>61</v>
      </c>
      <c r="D66" s="195">
        <v>115</v>
      </c>
      <c r="E66" s="575">
        <v>133</v>
      </c>
      <c r="F66" s="575">
        <v>133</v>
      </c>
      <c r="G66" s="264">
        <f t="shared" si="24"/>
        <v>100</v>
      </c>
      <c r="H66" s="266">
        <v>16104</v>
      </c>
      <c r="I66" s="266">
        <v>19702</v>
      </c>
      <c r="J66" s="266">
        <v>19702</v>
      </c>
      <c r="K66" s="32">
        <f t="shared" si="20"/>
        <v>100</v>
      </c>
      <c r="L66" s="309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</row>
    <row r="67" spans="1:84" s="247" customFormat="1" ht="32.25">
      <c r="A67" s="342"/>
      <c r="B67" s="6" t="s">
        <v>337</v>
      </c>
      <c r="C67" s="136" t="s">
        <v>61</v>
      </c>
      <c r="D67" s="575">
        <v>1</v>
      </c>
      <c r="E67" s="575">
        <v>1</v>
      </c>
      <c r="F67" s="575">
        <v>1</v>
      </c>
      <c r="G67" s="257">
        <f>F67/E67*100</f>
        <v>100</v>
      </c>
      <c r="H67" s="643">
        <v>789</v>
      </c>
      <c r="I67" s="643">
        <f>776-1</f>
        <v>775</v>
      </c>
      <c r="J67" s="643">
        <f>776-1</f>
        <v>775</v>
      </c>
      <c r="K67" s="32">
        <f t="shared" si="20"/>
        <v>100</v>
      </c>
      <c r="L67" s="412"/>
      <c r="M67" s="413"/>
      <c r="N67" s="413"/>
      <c r="O67" s="413"/>
      <c r="P67" s="413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</row>
    <row r="68" spans="1:84" s="247" customFormat="1" ht="32.25">
      <c r="A68" s="348"/>
      <c r="B68" s="6" t="s">
        <v>338</v>
      </c>
      <c r="C68" s="136" t="s">
        <v>61</v>
      </c>
      <c r="D68" s="195">
        <v>478</v>
      </c>
      <c r="E68" s="575">
        <v>430</v>
      </c>
      <c r="F68" s="575">
        <v>430</v>
      </c>
      <c r="G68" s="264">
        <f t="shared" si="24"/>
        <v>100</v>
      </c>
      <c r="H68" s="266">
        <v>63910</v>
      </c>
      <c r="I68" s="266">
        <v>57978</v>
      </c>
      <c r="J68" s="266">
        <v>57978</v>
      </c>
      <c r="K68" s="32">
        <f t="shared" si="20"/>
        <v>100</v>
      </c>
      <c r="L68" s="412"/>
      <c r="M68" s="413"/>
      <c r="N68" s="413"/>
      <c r="O68" s="413"/>
      <c r="P68" s="413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</row>
    <row r="69" spans="1:84" s="247" customFormat="1" ht="18.75">
      <c r="A69" s="348"/>
      <c r="B69" s="6" t="s">
        <v>134</v>
      </c>
      <c r="C69" s="136" t="s">
        <v>61</v>
      </c>
      <c r="D69" s="195">
        <v>1996</v>
      </c>
      <c r="E69" s="575">
        <v>2003</v>
      </c>
      <c r="F69" s="575">
        <v>2003</v>
      </c>
      <c r="G69" s="264">
        <f t="shared" si="24"/>
        <v>100</v>
      </c>
      <c r="H69" s="266">
        <f>250241+1</f>
        <v>250242</v>
      </c>
      <c r="I69" s="266">
        <f>247970-1</f>
        <v>247969</v>
      </c>
      <c r="J69" s="266">
        <f>247970-1</f>
        <v>247969</v>
      </c>
      <c r="K69" s="32">
        <f>J69/I69*100</f>
        <v>100</v>
      </c>
      <c r="L69" s="309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</row>
    <row r="70" spans="1:84" s="352" customFormat="1" ht="18.75">
      <c r="A70" s="348"/>
      <c r="B70" s="6" t="s">
        <v>192</v>
      </c>
      <c r="C70" s="136" t="s">
        <v>61</v>
      </c>
      <c r="D70" s="195">
        <v>4</v>
      </c>
      <c r="E70" s="575">
        <v>4</v>
      </c>
      <c r="F70" s="575">
        <v>4</v>
      </c>
      <c r="G70" s="264">
        <f t="shared" si="24"/>
        <v>100</v>
      </c>
      <c r="H70" s="266">
        <v>3156</v>
      </c>
      <c r="I70" s="266">
        <v>3105</v>
      </c>
      <c r="J70" s="266">
        <v>3105</v>
      </c>
      <c r="K70" s="32">
        <f t="shared" si="20"/>
        <v>100</v>
      </c>
      <c r="L70" s="298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</row>
    <row r="71" spans="1:84" s="352" customFormat="1" ht="18.75">
      <c r="A71" s="356"/>
      <c r="B71" s="204" t="s">
        <v>136</v>
      </c>
      <c r="C71" s="205" t="s">
        <v>61</v>
      </c>
      <c r="D71" s="576">
        <f>SUM(D72:D77)</f>
        <v>496</v>
      </c>
      <c r="E71" s="576">
        <f t="shared" ref="E71:F71" si="28">SUM(E72:E77)</f>
        <v>494</v>
      </c>
      <c r="F71" s="576">
        <f t="shared" si="28"/>
        <v>494</v>
      </c>
      <c r="G71" s="361">
        <f t="shared" si="24"/>
        <v>100</v>
      </c>
      <c r="H71" s="576">
        <f>SUM(H72:H77)</f>
        <v>71706</v>
      </c>
      <c r="I71" s="576">
        <f t="shared" ref="I71" si="29">SUM(I72:I77)</f>
        <v>72918</v>
      </c>
      <c r="J71" s="576">
        <f t="shared" ref="J71" si="30">SUM(J72:J77)</f>
        <v>72918</v>
      </c>
      <c r="K71" s="580">
        <f t="shared" si="20"/>
        <v>100</v>
      </c>
      <c r="L71" s="298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1"/>
      <c r="CC71" s="411"/>
      <c r="CD71" s="411"/>
      <c r="CE71" s="411"/>
      <c r="CF71" s="411"/>
    </row>
    <row r="72" spans="1:84" s="247" customFormat="1" ht="32.25">
      <c r="A72" s="348"/>
      <c r="B72" s="6" t="s">
        <v>339</v>
      </c>
      <c r="C72" s="136" t="s">
        <v>61</v>
      </c>
      <c r="D72" s="195">
        <v>2</v>
      </c>
      <c r="E72" s="575">
        <v>1</v>
      </c>
      <c r="F72" s="575">
        <v>1</v>
      </c>
      <c r="G72" s="264"/>
      <c r="H72" s="642">
        <v>265</v>
      </c>
      <c r="I72" s="266">
        <v>305</v>
      </c>
      <c r="J72" s="266">
        <v>305</v>
      </c>
      <c r="K72" s="32">
        <f t="shared" si="20"/>
        <v>100</v>
      </c>
      <c r="L72" s="309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</row>
    <row r="73" spans="1:84" s="352" customFormat="1" ht="32.25">
      <c r="A73" s="348"/>
      <c r="B73" s="6" t="s">
        <v>340</v>
      </c>
      <c r="C73" s="136" t="s">
        <v>61</v>
      </c>
      <c r="D73" s="195">
        <v>1</v>
      </c>
      <c r="E73" s="575">
        <v>1</v>
      </c>
      <c r="F73" s="575">
        <v>1</v>
      </c>
      <c r="G73" s="264">
        <f t="shared" si="24"/>
        <v>100</v>
      </c>
      <c r="H73" s="642">
        <v>789</v>
      </c>
      <c r="I73" s="266">
        <v>777</v>
      </c>
      <c r="J73" s="266">
        <v>777</v>
      </c>
      <c r="K73" s="32">
        <f t="shared" si="20"/>
        <v>100</v>
      </c>
      <c r="L73" s="298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/>
      <c r="BX73" s="411"/>
      <c r="BY73" s="411"/>
      <c r="BZ73" s="411"/>
      <c r="CA73" s="411"/>
      <c r="CB73" s="411"/>
      <c r="CC73" s="411"/>
      <c r="CD73" s="411"/>
      <c r="CE73" s="411"/>
      <c r="CF73" s="411"/>
    </row>
    <row r="74" spans="1:84" s="247" customFormat="1" ht="32.25">
      <c r="A74" s="348"/>
      <c r="B74" s="6" t="s">
        <v>341</v>
      </c>
      <c r="C74" s="136" t="s">
        <v>61</v>
      </c>
      <c r="D74" s="195">
        <v>416</v>
      </c>
      <c r="E74" s="575">
        <v>396</v>
      </c>
      <c r="F74" s="575">
        <v>396</v>
      </c>
      <c r="G74" s="264">
        <f t="shared" si="24"/>
        <v>100</v>
      </c>
      <c r="H74" s="642">
        <v>59224</v>
      </c>
      <c r="I74" s="266">
        <f>57777-1</f>
        <v>57776</v>
      </c>
      <c r="J74" s="266">
        <f>57777-1</f>
        <v>57776</v>
      </c>
      <c r="K74" s="32">
        <f t="shared" si="20"/>
        <v>100</v>
      </c>
      <c r="L74" s="309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</row>
    <row r="75" spans="1:84" s="247" customFormat="1" ht="48">
      <c r="A75" s="348"/>
      <c r="B75" s="6" t="s">
        <v>342</v>
      </c>
      <c r="C75" s="136" t="s">
        <v>61</v>
      </c>
      <c r="D75" s="195">
        <v>1</v>
      </c>
      <c r="E75" s="575">
        <f>'[1]Свод за 2021 год'!E329</f>
        <v>1</v>
      </c>
      <c r="F75" s="575">
        <f>'[1]Свод за 2021 год'!F329</f>
        <v>1</v>
      </c>
      <c r="G75" s="264"/>
      <c r="H75" s="642">
        <v>789</v>
      </c>
      <c r="I75" s="266">
        <v>777</v>
      </c>
      <c r="J75" s="266">
        <v>777</v>
      </c>
      <c r="K75" s="32">
        <f t="shared" si="20"/>
        <v>100</v>
      </c>
      <c r="L75" s="309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</row>
    <row r="76" spans="1:84" s="247" customFormat="1" ht="18.75">
      <c r="A76" s="348"/>
      <c r="B76" s="6" t="s">
        <v>141</v>
      </c>
      <c r="C76" s="136" t="s">
        <v>61</v>
      </c>
      <c r="D76" s="195">
        <v>75</v>
      </c>
      <c r="E76" s="575">
        <v>94</v>
      </c>
      <c r="F76" s="575">
        <v>94</v>
      </c>
      <c r="G76" s="264">
        <f t="shared" si="24"/>
        <v>100</v>
      </c>
      <c r="H76" s="642">
        <v>10608</v>
      </c>
      <c r="I76" s="642">
        <v>13248</v>
      </c>
      <c r="J76" s="642">
        <v>13248</v>
      </c>
      <c r="K76" s="32">
        <f t="shared" si="20"/>
        <v>100</v>
      </c>
      <c r="L76" s="412"/>
      <c r="M76" s="413"/>
      <c r="N76" s="413"/>
      <c r="O76" s="413"/>
      <c r="P76" s="413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</row>
    <row r="77" spans="1:84" s="247" customFormat="1" ht="48">
      <c r="A77" s="342"/>
      <c r="B77" s="6" t="s">
        <v>86</v>
      </c>
      <c r="C77" s="136" t="s">
        <v>333</v>
      </c>
      <c r="D77" s="344">
        <v>1</v>
      </c>
      <c r="E77" s="575">
        <v>1</v>
      </c>
      <c r="F77" s="575">
        <v>1</v>
      </c>
      <c r="G77" s="575">
        <f t="shared" ref="G77" si="31">G78+G79+G80+G81+G82</f>
        <v>400</v>
      </c>
      <c r="H77" s="575">
        <v>31</v>
      </c>
      <c r="I77" s="575">
        <v>35</v>
      </c>
      <c r="J77" s="575">
        <v>35</v>
      </c>
      <c r="K77" s="32">
        <f t="shared" si="20"/>
        <v>100</v>
      </c>
      <c r="L77" s="412"/>
      <c r="M77" s="413"/>
      <c r="N77" s="413"/>
      <c r="O77" s="413"/>
      <c r="P77" s="413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</row>
    <row r="78" spans="1:84" s="352" customFormat="1" ht="18.75">
      <c r="A78" s="356"/>
      <c r="B78" s="204" t="s">
        <v>64</v>
      </c>
      <c r="C78" s="205" t="s">
        <v>61</v>
      </c>
      <c r="D78" s="576">
        <f>D79+D83+D87+D91+D95</f>
        <v>4674</v>
      </c>
      <c r="E78" s="576">
        <f>E79+E83+E87+E91+E95</f>
        <v>4585</v>
      </c>
      <c r="F78" s="576">
        <f>F79+F83+F87+F91+F95</f>
        <v>4585</v>
      </c>
      <c r="G78" s="361">
        <f t="shared" si="24"/>
        <v>100</v>
      </c>
      <c r="H78" s="576">
        <f>H79+H83+H87+H91+H95</f>
        <v>140546</v>
      </c>
      <c r="I78" s="576">
        <f t="shared" ref="I78" si="32">I79+I83+I87+I91+I95</f>
        <v>101736</v>
      </c>
      <c r="J78" s="576">
        <f t="shared" ref="J78" si="33">J79+J83+J87+J91+J95</f>
        <v>101736</v>
      </c>
      <c r="K78" s="580">
        <f t="shared" si="20"/>
        <v>100</v>
      </c>
      <c r="L78" s="298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</row>
    <row r="79" spans="1:84" s="352" customFormat="1" ht="18.75">
      <c r="A79" s="348"/>
      <c r="B79" s="6" t="s">
        <v>66</v>
      </c>
      <c r="C79" s="136" t="s">
        <v>61</v>
      </c>
      <c r="D79" s="195">
        <f>SUM(D80:D82)</f>
        <v>1688</v>
      </c>
      <c r="E79" s="195">
        <f t="shared" ref="E79:F79" si="34">SUM(E80:E82)</f>
        <v>1734</v>
      </c>
      <c r="F79" s="195">
        <f t="shared" si="34"/>
        <v>1734</v>
      </c>
      <c r="G79" s="264">
        <f t="shared" si="24"/>
        <v>100</v>
      </c>
      <c r="H79" s="195">
        <f>SUM(H80:H82)</f>
        <v>85800</v>
      </c>
      <c r="I79" s="195">
        <f t="shared" ref="I79" si="35">SUM(I80:I82)</f>
        <v>67247</v>
      </c>
      <c r="J79" s="195">
        <f t="shared" ref="J79" si="36">SUM(J80:J82)</f>
        <v>67247</v>
      </c>
      <c r="K79" s="32">
        <f t="shared" si="20"/>
        <v>100</v>
      </c>
      <c r="L79" s="298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11"/>
    </row>
    <row r="80" spans="1:84" s="247" customFormat="1" ht="18.75">
      <c r="A80" s="348"/>
      <c r="B80" s="37" t="s">
        <v>67</v>
      </c>
      <c r="C80" s="136" t="s">
        <v>61</v>
      </c>
      <c r="D80" s="195">
        <v>749</v>
      </c>
      <c r="E80" s="575">
        <v>781</v>
      </c>
      <c r="F80" s="575">
        <v>781</v>
      </c>
      <c r="G80" s="264">
        <f t="shared" si="24"/>
        <v>100</v>
      </c>
      <c r="H80" s="266">
        <v>38071</v>
      </c>
      <c r="I80" s="266">
        <v>30332</v>
      </c>
      <c r="J80" s="266">
        <v>30332</v>
      </c>
      <c r="K80" s="32">
        <f t="shared" si="20"/>
        <v>100</v>
      </c>
      <c r="L80" s="309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</row>
    <row r="81" spans="1:84" s="247" customFormat="1" ht="18.75">
      <c r="A81" s="348"/>
      <c r="B81" s="37" t="s">
        <v>68</v>
      </c>
      <c r="C81" s="136" t="s">
        <v>61</v>
      </c>
      <c r="D81" s="195">
        <v>817</v>
      </c>
      <c r="E81" s="575">
        <v>837</v>
      </c>
      <c r="F81" s="575">
        <v>837</v>
      </c>
      <c r="G81" s="264">
        <v>0</v>
      </c>
      <c r="H81" s="642">
        <v>41528</v>
      </c>
      <c r="I81" s="642">
        <v>32428</v>
      </c>
      <c r="J81" s="642">
        <v>32428</v>
      </c>
      <c r="K81" s="32">
        <f t="shared" si="20"/>
        <v>100</v>
      </c>
      <c r="L81" s="309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</row>
    <row r="82" spans="1:84" s="352" customFormat="1" ht="18.75">
      <c r="A82" s="348"/>
      <c r="B82" s="37" t="s">
        <v>69</v>
      </c>
      <c r="C82" s="136" t="s">
        <v>61</v>
      </c>
      <c r="D82" s="195">
        <v>122</v>
      </c>
      <c r="E82" s="575">
        <v>116</v>
      </c>
      <c r="F82" s="575">
        <v>116</v>
      </c>
      <c r="G82" s="264">
        <f t="shared" si="24"/>
        <v>100</v>
      </c>
      <c r="H82" s="642">
        <v>6201</v>
      </c>
      <c r="I82" s="642">
        <v>4487</v>
      </c>
      <c r="J82" s="642">
        <v>4487</v>
      </c>
      <c r="K82" s="32">
        <f t="shared" si="20"/>
        <v>100</v>
      </c>
      <c r="L82" s="298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411"/>
      <c r="BW82" s="411"/>
      <c r="BX82" s="411"/>
      <c r="BY82" s="411"/>
      <c r="BZ82" s="411"/>
      <c r="CA82" s="411"/>
      <c r="CB82" s="411"/>
      <c r="CC82" s="411"/>
      <c r="CD82" s="411"/>
      <c r="CE82" s="411"/>
      <c r="CF82" s="411"/>
    </row>
    <row r="83" spans="1:84" s="247" customFormat="1" ht="32.25">
      <c r="A83" s="348"/>
      <c r="B83" s="6" t="s">
        <v>71</v>
      </c>
      <c r="C83" s="136" t="s">
        <v>61</v>
      </c>
      <c r="D83" s="195">
        <f>SUM(D84:D86)</f>
        <v>5</v>
      </c>
      <c r="E83" s="195">
        <f t="shared" ref="E83:F83" si="37">SUM(E84:E86)</f>
        <v>6</v>
      </c>
      <c r="F83" s="195">
        <f t="shared" si="37"/>
        <v>6</v>
      </c>
      <c r="G83" s="264">
        <f t="shared" si="24"/>
        <v>100</v>
      </c>
      <c r="H83" s="195">
        <f>SUM(H84:H86)</f>
        <v>135</v>
      </c>
      <c r="I83" s="195">
        <f t="shared" ref="I83" si="38">SUM(I84:I86)</f>
        <v>162</v>
      </c>
      <c r="J83" s="195">
        <f t="shared" ref="J83" si="39">SUM(J84:J86)</f>
        <v>162</v>
      </c>
      <c r="K83" s="32">
        <f t="shared" si="20"/>
        <v>100</v>
      </c>
      <c r="L83" s="309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</row>
    <row r="84" spans="1:84" s="247" customFormat="1" ht="18.75">
      <c r="A84" s="356"/>
      <c r="B84" s="37" t="s">
        <v>67</v>
      </c>
      <c r="C84" s="136" t="s">
        <v>61</v>
      </c>
      <c r="D84" s="575">
        <v>3</v>
      </c>
      <c r="E84" s="575">
        <v>4</v>
      </c>
      <c r="F84" s="575">
        <v>4</v>
      </c>
      <c r="G84" s="264">
        <f t="shared" si="24"/>
        <v>100</v>
      </c>
      <c r="H84" s="195">
        <v>81</v>
      </c>
      <c r="I84" s="195">
        <v>108</v>
      </c>
      <c r="J84" s="195">
        <v>108</v>
      </c>
      <c r="K84" s="32">
        <f t="shared" si="20"/>
        <v>100</v>
      </c>
      <c r="L84" s="309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</row>
    <row r="85" spans="1:84" s="247" customFormat="1" ht="18.75">
      <c r="A85" s="348"/>
      <c r="B85" s="37" t="s">
        <v>68</v>
      </c>
      <c r="C85" s="136" t="s">
        <v>61</v>
      </c>
      <c r="D85" s="195">
        <v>1</v>
      </c>
      <c r="E85" s="575">
        <v>1</v>
      </c>
      <c r="F85" s="575">
        <v>1</v>
      </c>
      <c r="G85" s="264">
        <f t="shared" si="24"/>
        <v>100</v>
      </c>
      <c r="H85" s="266">
        <v>27</v>
      </c>
      <c r="I85" s="266">
        <v>27</v>
      </c>
      <c r="J85" s="266">
        <v>27</v>
      </c>
      <c r="K85" s="32">
        <f t="shared" si="20"/>
        <v>100</v>
      </c>
      <c r="L85" s="412"/>
      <c r="M85" s="413"/>
      <c r="N85" s="413"/>
      <c r="O85" s="413"/>
      <c r="P85" s="413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</row>
    <row r="86" spans="1:84" s="247" customFormat="1" ht="18.75">
      <c r="A86" s="348"/>
      <c r="B86" s="37" t="s">
        <v>69</v>
      </c>
      <c r="C86" s="136" t="s">
        <v>61</v>
      </c>
      <c r="D86" s="195">
        <v>1</v>
      </c>
      <c r="E86" s="575">
        <v>1</v>
      </c>
      <c r="F86" s="575">
        <v>1</v>
      </c>
      <c r="G86" s="264">
        <f t="shared" si="24"/>
        <v>100</v>
      </c>
      <c r="H86" s="266">
        <v>27</v>
      </c>
      <c r="I86" s="266">
        <v>27</v>
      </c>
      <c r="J86" s="266">
        <v>27</v>
      </c>
      <c r="K86" s="32">
        <f t="shared" si="20"/>
        <v>100</v>
      </c>
      <c r="L86" s="412"/>
      <c r="M86" s="413"/>
      <c r="N86" s="413"/>
      <c r="O86" s="413"/>
      <c r="P86" s="413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</row>
    <row r="87" spans="1:84" s="247" customFormat="1" ht="48">
      <c r="A87" s="348"/>
      <c r="B87" s="6" t="s">
        <v>73</v>
      </c>
      <c r="C87" s="136" t="s">
        <v>61</v>
      </c>
      <c r="D87" s="195">
        <f>SUM(D88:D90)</f>
        <v>1391</v>
      </c>
      <c r="E87" s="195">
        <f t="shared" ref="E87:F87" si="40">SUM(E88:E90)</f>
        <v>1308</v>
      </c>
      <c r="F87" s="195">
        <f t="shared" si="40"/>
        <v>1308</v>
      </c>
      <c r="G87" s="264">
        <f t="shared" si="24"/>
        <v>100</v>
      </c>
      <c r="H87" s="266">
        <f>SUM(H88:H90)</f>
        <v>19976</v>
      </c>
      <c r="I87" s="266">
        <f t="shared" ref="I87" si="41">SUM(I88:I90)</f>
        <v>11705</v>
      </c>
      <c r="J87" s="266">
        <f t="shared" ref="J87" si="42">SUM(J88:J90)</f>
        <v>11705</v>
      </c>
      <c r="K87" s="32">
        <f t="shared" si="20"/>
        <v>100</v>
      </c>
      <c r="L87" s="309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</row>
    <row r="88" spans="1:84" s="352" customFormat="1" ht="18.75">
      <c r="A88" s="348"/>
      <c r="B88" s="37" t="s">
        <v>67</v>
      </c>
      <c r="C88" s="136" t="s">
        <v>61</v>
      </c>
      <c r="D88" s="195">
        <v>0</v>
      </c>
      <c r="E88" s="575">
        <v>0</v>
      </c>
      <c r="F88" s="575">
        <v>0</v>
      </c>
      <c r="G88" s="264" t="e">
        <f t="shared" si="24"/>
        <v>#DIV/0!</v>
      </c>
      <c r="H88" s="266"/>
      <c r="I88" s="266"/>
      <c r="J88" s="266"/>
      <c r="K88" s="32" t="e">
        <f t="shared" si="20"/>
        <v>#DIV/0!</v>
      </c>
      <c r="L88" s="298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</row>
    <row r="89" spans="1:84" s="247" customFormat="1" ht="18.75">
      <c r="A89" s="348"/>
      <c r="B89" s="37" t="s">
        <v>68</v>
      </c>
      <c r="C89" s="136" t="s">
        <v>61</v>
      </c>
      <c r="D89" s="195">
        <v>1152</v>
      </c>
      <c r="E89" s="575">
        <v>1120</v>
      </c>
      <c r="F89" s="575">
        <v>1120</v>
      </c>
      <c r="G89" s="264">
        <f t="shared" si="24"/>
        <v>100</v>
      </c>
      <c r="H89" s="642">
        <v>16666</v>
      </c>
      <c r="I89" s="642">
        <v>10027</v>
      </c>
      <c r="J89" s="642">
        <v>10027</v>
      </c>
      <c r="K89" s="32">
        <f t="shared" si="20"/>
        <v>100</v>
      </c>
      <c r="L89" s="309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</row>
    <row r="90" spans="1:84" s="247" customFormat="1" ht="18.75">
      <c r="A90" s="348"/>
      <c r="B90" s="37" t="s">
        <v>69</v>
      </c>
      <c r="C90" s="136" t="s">
        <v>61</v>
      </c>
      <c r="D90" s="195">
        <v>239</v>
      </c>
      <c r="E90" s="575">
        <v>188</v>
      </c>
      <c r="F90" s="575">
        <v>188</v>
      </c>
      <c r="G90" s="264">
        <v>0</v>
      </c>
      <c r="H90" s="642">
        <v>3310</v>
      </c>
      <c r="I90" s="266">
        <v>1678</v>
      </c>
      <c r="J90" s="266">
        <v>1678</v>
      </c>
      <c r="K90" s="32">
        <f t="shared" si="20"/>
        <v>100</v>
      </c>
      <c r="L90" s="309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</row>
    <row r="91" spans="1:84" s="352" customFormat="1" ht="32.25">
      <c r="A91" s="348"/>
      <c r="B91" s="6" t="s">
        <v>75</v>
      </c>
      <c r="C91" s="136" t="s">
        <v>61</v>
      </c>
      <c r="D91" s="195">
        <f>SUM(D92:D94)</f>
        <v>1518</v>
      </c>
      <c r="E91" s="195">
        <f t="shared" ref="E91:F91" si="43">SUM(E92:E94)</f>
        <v>1478</v>
      </c>
      <c r="F91" s="195">
        <f t="shared" si="43"/>
        <v>1478</v>
      </c>
      <c r="G91" s="264">
        <f t="shared" si="24"/>
        <v>100</v>
      </c>
      <c r="H91" s="266">
        <f>SUM(H92:H94)</f>
        <v>32525</v>
      </c>
      <c r="I91" s="266">
        <f t="shared" ref="I91" si="44">SUM(I92:I94)</f>
        <v>21649</v>
      </c>
      <c r="J91" s="266">
        <f t="shared" ref="J91" si="45">SUM(J92:J94)</f>
        <v>21649</v>
      </c>
      <c r="K91" s="32">
        <f t="shared" si="20"/>
        <v>100</v>
      </c>
      <c r="L91" s="298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</row>
    <row r="92" spans="1:84" s="247" customFormat="1" ht="18.75">
      <c r="A92" s="348"/>
      <c r="B92" s="37" t="s">
        <v>67</v>
      </c>
      <c r="C92" s="136" t="s">
        <v>61</v>
      </c>
      <c r="D92" s="195">
        <v>1518</v>
      </c>
      <c r="E92" s="575">
        <v>1478</v>
      </c>
      <c r="F92" s="575">
        <v>1478</v>
      </c>
      <c r="G92" s="264">
        <f t="shared" si="24"/>
        <v>100</v>
      </c>
      <c r="H92" s="266">
        <v>32525</v>
      </c>
      <c r="I92" s="266">
        <v>21649</v>
      </c>
      <c r="J92" s="266">
        <v>21649</v>
      </c>
      <c r="K92" s="32">
        <f t="shared" si="20"/>
        <v>100</v>
      </c>
      <c r="L92" s="309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</row>
    <row r="93" spans="1:84" s="247" customFormat="1" ht="18.75">
      <c r="A93" s="348"/>
      <c r="B93" s="37" t="s">
        <v>68</v>
      </c>
      <c r="C93" s="136" t="s">
        <v>61</v>
      </c>
      <c r="D93" s="195">
        <v>0</v>
      </c>
      <c r="E93" s="575">
        <v>0</v>
      </c>
      <c r="F93" s="575">
        <v>0</v>
      </c>
      <c r="G93" s="264" t="e">
        <f t="shared" si="24"/>
        <v>#DIV/0!</v>
      </c>
      <c r="H93" s="642">
        <v>0</v>
      </c>
      <c r="I93" s="642">
        <v>0</v>
      </c>
      <c r="J93" s="642">
        <v>0</v>
      </c>
      <c r="K93" s="32" t="e">
        <f t="shared" si="20"/>
        <v>#DIV/0!</v>
      </c>
      <c r="L93" s="309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</row>
    <row r="94" spans="1:84" s="247" customFormat="1" ht="18.75">
      <c r="A94" s="348"/>
      <c r="B94" s="37" t="s">
        <v>69</v>
      </c>
      <c r="C94" s="136" t="s">
        <v>61</v>
      </c>
      <c r="D94" s="195">
        <v>0</v>
      </c>
      <c r="E94" s="575">
        <v>0</v>
      </c>
      <c r="F94" s="575">
        <v>0</v>
      </c>
      <c r="G94" s="264" t="e">
        <f t="shared" si="24"/>
        <v>#DIV/0!</v>
      </c>
      <c r="H94" s="266">
        <v>0</v>
      </c>
      <c r="I94" s="266">
        <v>0</v>
      </c>
      <c r="J94" s="266">
        <v>0</v>
      </c>
      <c r="K94" s="32" t="e">
        <f t="shared" si="20"/>
        <v>#DIV/0!</v>
      </c>
      <c r="L94" s="412"/>
      <c r="M94" s="413"/>
      <c r="N94" s="413"/>
      <c r="O94" s="413"/>
      <c r="P94" s="413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</row>
    <row r="95" spans="1:84" s="247" customFormat="1" ht="48">
      <c r="A95" s="348"/>
      <c r="B95" s="6" t="s">
        <v>343</v>
      </c>
      <c r="C95" s="136" t="s">
        <v>61</v>
      </c>
      <c r="D95" s="195">
        <f>SUM(D96:D98)</f>
        <v>72</v>
      </c>
      <c r="E95" s="195">
        <f t="shared" ref="E95:F95" si="46">SUM(E96:E98)</f>
        <v>59</v>
      </c>
      <c r="F95" s="195">
        <f t="shared" si="46"/>
        <v>59</v>
      </c>
      <c r="G95" s="264">
        <f t="shared" si="24"/>
        <v>100</v>
      </c>
      <c r="H95" s="266">
        <f>SUM(H96:H98)</f>
        <v>2110</v>
      </c>
      <c r="I95" s="266">
        <f t="shared" ref="I95" si="47">SUM(I96:I98)</f>
        <v>973</v>
      </c>
      <c r="J95" s="266">
        <f t="shared" ref="J95" si="48">SUM(J96:J98)</f>
        <v>973</v>
      </c>
      <c r="K95" s="32">
        <f t="shared" si="20"/>
        <v>100</v>
      </c>
      <c r="L95" s="412"/>
      <c r="M95" s="413"/>
      <c r="N95" s="413"/>
      <c r="O95" s="413"/>
      <c r="P95" s="413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</row>
    <row r="96" spans="1:84" s="247" customFormat="1" ht="18.75">
      <c r="A96" s="348"/>
      <c r="B96" s="37" t="s">
        <v>67</v>
      </c>
      <c r="C96" s="136" t="s">
        <v>61</v>
      </c>
      <c r="D96" s="195">
        <v>0</v>
      </c>
      <c r="E96" s="575">
        <f>'[1]Свод за 2021 год'!E350</f>
        <v>0</v>
      </c>
      <c r="F96" s="575">
        <f>'[1]Свод за 2021 год'!F350</f>
        <v>0</v>
      </c>
      <c r="G96" s="264" t="e">
        <f t="shared" si="24"/>
        <v>#DIV/0!</v>
      </c>
      <c r="H96" s="266"/>
      <c r="I96" s="266"/>
      <c r="J96" s="266"/>
      <c r="K96" s="32" t="e">
        <f t="shared" si="20"/>
        <v>#DIV/0!</v>
      </c>
      <c r="L96" s="309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07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</row>
    <row r="97" spans="1:84" s="352" customFormat="1" ht="18.75">
      <c r="A97" s="348"/>
      <c r="B97" s="37" t="s">
        <v>68</v>
      </c>
      <c r="C97" s="136" t="s">
        <v>61</v>
      </c>
      <c r="D97" s="195">
        <v>65</v>
      </c>
      <c r="E97" s="575">
        <v>53</v>
      </c>
      <c r="F97" s="575">
        <v>53</v>
      </c>
      <c r="G97" s="264">
        <f t="shared" si="24"/>
        <v>100</v>
      </c>
      <c r="H97" s="266">
        <v>1905</v>
      </c>
      <c r="I97" s="266">
        <v>874</v>
      </c>
      <c r="J97" s="266">
        <v>874</v>
      </c>
      <c r="K97" s="32">
        <f t="shared" si="20"/>
        <v>100</v>
      </c>
      <c r="L97" s="298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1"/>
      <c r="BK97" s="411"/>
      <c r="BL97" s="411"/>
      <c r="BM97" s="411"/>
      <c r="BN97" s="411"/>
      <c r="BO97" s="411"/>
      <c r="BP97" s="411"/>
      <c r="BQ97" s="411"/>
      <c r="BR97" s="411"/>
      <c r="BS97" s="411"/>
      <c r="BT97" s="411"/>
      <c r="BU97" s="411"/>
      <c r="BV97" s="411"/>
      <c r="BW97" s="411"/>
      <c r="BX97" s="411"/>
      <c r="BY97" s="411"/>
      <c r="BZ97" s="411"/>
      <c r="CA97" s="411"/>
      <c r="CB97" s="411"/>
      <c r="CC97" s="411"/>
      <c r="CD97" s="411"/>
      <c r="CE97" s="411"/>
      <c r="CF97" s="411"/>
    </row>
    <row r="98" spans="1:84" s="247" customFormat="1" ht="18.75">
      <c r="A98" s="348"/>
      <c r="B98" s="37" t="s">
        <v>69</v>
      </c>
      <c r="C98" s="136" t="s">
        <v>61</v>
      </c>
      <c r="D98" s="195">
        <v>7</v>
      </c>
      <c r="E98" s="575">
        <v>6</v>
      </c>
      <c r="F98" s="575">
        <v>6</v>
      </c>
      <c r="G98" s="264">
        <f t="shared" si="24"/>
        <v>100</v>
      </c>
      <c r="H98" s="266">
        <v>205</v>
      </c>
      <c r="I98" s="266">
        <v>99</v>
      </c>
      <c r="J98" s="266">
        <v>99</v>
      </c>
      <c r="K98" s="32">
        <f t="shared" si="20"/>
        <v>100</v>
      </c>
      <c r="L98" s="309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</row>
    <row r="99" spans="1:84" s="352" customFormat="1" ht="18.75">
      <c r="A99" s="356"/>
      <c r="B99" s="204" t="s">
        <v>31</v>
      </c>
      <c r="C99" s="205" t="s">
        <v>76</v>
      </c>
      <c r="D99" s="344">
        <f>D100</f>
        <v>0</v>
      </c>
      <c r="E99" s="344">
        <f t="shared" ref="E99:F99" si="49">E100</f>
        <v>1725</v>
      </c>
      <c r="F99" s="344">
        <f t="shared" si="49"/>
        <v>1725</v>
      </c>
      <c r="G99" s="361"/>
      <c r="H99" s="644">
        <f>SUM(H100)</f>
        <v>0</v>
      </c>
      <c r="I99" s="644">
        <f>SUM(I100)</f>
        <v>4076</v>
      </c>
      <c r="J99" s="644">
        <f>SUM(J100)</f>
        <v>4076</v>
      </c>
      <c r="K99" s="580"/>
      <c r="L99" s="298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/>
      <c r="BX99" s="411"/>
      <c r="BY99" s="411"/>
      <c r="BZ99" s="411"/>
      <c r="CA99" s="411"/>
      <c r="CB99" s="411"/>
      <c r="CC99" s="411"/>
      <c r="CD99" s="411"/>
      <c r="CE99" s="411"/>
      <c r="CF99" s="411"/>
    </row>
    <row r="100" spans="1:84" s="433" customFormat="1" ht="19.5">
      <c r="A100" s="348"/>
      <c r="B100" s="6" t="s">
        <v>142</v>
      </c>
      <c r="C100" s="136" t="s">
        <v>76</v>
      </c>
      <c r="D100" s="195">
        <v>0</v>
      </c>
      <c r="E100" s="575">
        <v>1725</v>
      </c>
      <c r="F100" s="575">
        <v>1725</v>
      </c>
      <c r="G100" s="264">
        <f t="shared" si="24"/>
        <v>100</v>
      </c>
      <c r="H100" s="266">
        <v>0</v>
      </c>
      <c r="I100" s="266">
        <f>1797+2279</f>
        <v>4076</v>
      </c>
      <c r="J100" s="266">
        <f>1797+2279</f>
        <v>4076</v>
      </c>
      <c r="K100" s="32">
        <f t="shared" si="20"/>
        <v>100</v>
      </c>
      <c r="L100" s="431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  <c r="BV100" s="432"/>
      <c r="BW100" s="432"/>
      <c r="BX100" s="432"/>
      <c r="BY100" s="432"/>
      <c r="BZ100" s="432"/>
      <c r="CA100" s="432"/>
      <c r="CB100" s="432"/>
      <c r="CC100" s="432"/>
      <c r="CD100" s="432"/>
      <c r="CE100" s="432"/>
      <c r="CF100" s="432"/>
    </row>
    <row r="101" spans="1:84" s="352" customFormat="1" ht="18.75">
      <c r="A101" s="356"/>
      <c r="B101" s="204" t="s">
        <v>78</v>
      </c>
      <c r="C101" s="205" t="s">
        <v>5</v>
      </c>
      <c r="D101" s="344">
        <f>D102</f>
        <v>5283</v>
      </c>
      <c r="E101" s="344">
        <f t="shared" ref="E101:F101" si="50">E102</f>
        <v>5283</v>
      </c>
      <c r="F101" s="344">
        <f t="shared" si="50"/>
        <v>5283</v>
      </c>
      <c r="G101" s="257">
        <f t="shared" si="24"/>
        <v>100</v>
      </c>
      <c r="H101" s="344">
        <f>H102</f>
        <v>9281</v>
      </c>
      <c r="I101" s="344">
        <f>I102</f>
        <v>9747</v>
      </c>
      <c r="J101" s="344">
        <f>J102</f>
        <v>9747</v>
      </c>
      <c r="K101" s="579">
        <f t="shared" si="20"/>
        <v>100</v>
      </c>
      <c r="L101" s="298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</row>
    <row r="102" spans="1:84" s="433" customFormat="1" ht="19.5">
      <c r="A102" s="348"/>
      <c r="B102" s="6" t="s">
        <v>79</v>
      </c>
      <c r="C102" s="136" t="s">
        <v>5</v>
      </c>
      <c r="D102" s="195">
        <v>5283</v>
      </c>
      <c r="E102" s="575">
        <v>5283</v>
      </c>
      <c r="F102" s="575">
        <v>5283</v>
      </c>
      <c r="G102" s="264">
        <f t="shared" si="24"/>
        <v>100</v>
      </c>
      <c r="H102" s="642">
        <v>9281</v>
      </c>
      <c r="I102" s="642">
        <v>9747</v>
      </c>
      <c r="J102" s="642">
        <v>9747</v>
      </c>
      <c r="K102" s="32">
        <f t="shared" si="20"/>
        <v>100</v>
      </c>
      <c r="L102" s="431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32"/>
      <c r="AW102" s="432"/>
      <c r="AX102" s="432"/>
      <c r="AY102" s="432"/>
      <c r="AZ102" s="432"/>
      <c r="BA102" s="432"/>
      <c r="BB102" s="432"/>
      <c r="BC102" s="432"/>
      <c r="BD102" s="432"/>
      <c r="BE102" s="432"/>
      <c r="BF102" s="432"/>
      <c r="BG102" s="432"/>
      <c r="BH102" s="432"/>
      <c r="BI102" s="432"/>
      <c r="BJ102" s="432"/>
      <c r="BK102" s="432"/>
      <c r="BL102" s="432"/>
      <c r="BM102" s="432"/>
      <c r="BN102" s="432"/>
      <c r="BO102" s="432"/>
      <c r="BP102" s="432"/>
      <c r="BQ102" s="432"/>
      <c r="BR102" s="432"/>
      <c r="BS102" s="432"/>
      <c r="BT102" s="432"/>
      <c r="BU102" s="432"/>
      <c r="BV102" s="432"/>
      <c r="BW102" s="432"/>
      <c r="BX102" s="432"/>
      <c r="BY102" s="432"/>
      <c r="BZ102" s="432"/>
      <c r="CA102" s="432"/>
      <c r="CB102" s="432"/>
      <c r="CC102" s="432"/>
      <c r="CD102" s="432"/>
      <c r="CE102" s="432"/>
      <c r="CF102" s="432"/>
    </row>
    <row r="103" spans="1:84" s="352" customFormat="1" ht="18.75">
      <c r="A103" s="581"/>
      <c r="B103" s="599" t="s">
        <v>292</v>
      </c>
      <c r="C103" s="582"/>
      <c r="D103" s="583">
        <f>D104+D108</f>
        <v>5342</v>
      </c>
      <c r="E103" s="583">
        <f t="shared" ref="E103:F103" si="51">E104+E108</f>
        <v>5114</v>
      </c>
      <c r="F103" s="583">
        <f t="shared" si="51"/>
        <v>5100</v>
      </c>
      <c r="G103" s="584">
        <f t="shared" si="24"/>
        <v>99.726241689479849</v>
      </c>
      <c r="H103" s="583">
        <f>H104+H108</f>
        <v>678508</v>
      </c>
      <c r="I103" s="583">
        <f t="shared" ref="I103:J103" si="52">I104+I108</f>
        <v>704034</v>
      </c>
      <c r="J103" s="583">
        <f t="shared" si="52"/>
        <v>704034</v>
      </c>
      <c r="K103" s="585">
        <f t="shared" si="20"/>
        <v>100</v>
      </c>
      <c r="L103" s="298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  <c r="BL103" s="411"/>
      <c r="BM103" s="411"/>
      <c r="BN103" s="411"/>
      <c r="BO103" s="411"/>
      <c r="BP103" s="411"/>
      <c r="BQ103" s="411"/>
      <c r="BR103" s="411"/>
      <c r="BS103" s="411"/>
      <c r="BT103" s="411"/>
      <c r="BU103" s="411"/>
      <c r="BV103" s="411"/>
      <c r="BW103" s="411"/>
      <c r="BX103" s="411"/>
      <c r="BY103" s="411"/>
      <c r="BZ103" s="411"/>
      <c r="CA103" s="411"/>
      <c r="CB103" s="411"/>
      <c r="CC103" s="411"/>
      <c r="CD103" s="411"/>
      <c r="CE103" s="411"/>
      <c r="CF103" s="411"/>
    </row>
    <row r="104" spans="1:84" s="352" customFormat="1" ht="18.75">
      <c r="A104" s="203" t="s">
        <v>4</v>
      </c>
      <c r="B104" s="204" t="s">
        <v>89</v>
      </c>
      <c r="C104" s="205" t="s">
        <v>90</v>
      </c>
      <c r="D104" s="576">
        <f>D105+D106+D107</f>
        <v>2671</v>
      </c>
      <c r="E104" s="576">
        <f t="shared" ref="E104:F104" si="53">E105+E106+E107</f>
        <v>2557</v>
      </c>
      <c r="F104" s="576">
        <f t="shared" si="53"/>
        <v>2550</v>
      </c>
      <c r="G104" s="361">
        <f t="shared" si="24"/>
        <v>99.726241689479849</v>
      </c>
      <c r="H104" s="576">
        <f>H105+H106+H107</f>
        <v>5125</v>
      </c>
      <c r="I104" s="576">
        <f t="shared" ref="I104:J104" si="54">I105+I106+I107</f>
        <v>5497</v>
      </c>
      <c r="J104" s="576">
        <f t="shared" si="54"/>
        <v>5497</v>
      </c>
      <c r="K104" s="32">
        <f t="shared" si="20"/>
        <v>100</v>
      </c>
      <c r="L104" s="298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411"/>
      <c r="BU104" s="411"/>
      <c r="BV104" s="411"/>
      <c r="BW104" s="411"/>
      <c r="BX104" s="411"/>
      <c r="BY104" s="411"/>
      <c r="BZ104" s="411"/>
      <c r="CA104" s="411"/>
      <c r="CB104" s="411"/>
      <c r="CC104" s="411"/>
      <c r="CD104" s="411"/>
      <c r="CE104" s="411"/>
      <c r="CF104" s="411"/>
    </row>
    <row r="105" spans="1:84" s="352" customFormat="1" ht="18.75">
      <c r="A105" s="5" t="s">
        <v>26</v>
      </c>
      <c r="B105" s="6" t="s">
        <v>91</v>
      </c>
      <c r="C105" s="136" t="s">
        <v>90</v>
      </c>
      <c r="D105" s="195">
        <v>2627</v>
      </c>
      <c r="E105" s="195">
        <v>2503</v>
      </c>
      <c r="F105" s="195">
        <v>2494</v>
      </c>
      <c r="G105" s="264">
        <f t="shared" si="24"/>
        <v>99.640431482221331</v>
      </c>
      <c r="H105" s="642">
        <f>3752.7+0.3</f>
        <v>3753</v>
      </c>
      <c r="I105" s="266">
        <v>3735</v>
      </c>
      <c r="J105" s="266">
        <f>I105</f>
        <v>3735</v>
      </c>
      <c r="K105" s="32">
        <f t="shared" si="20"/>
        <v>100</v>
      </c>
      <c r="L105" s="298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/>
      <c r="AS105" s="411"/>
      <c r="AT105" s="411"/>
      <c r="AU105" s="411"/>
      <c r="AV105" s="411"/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1"/>
      <c r="BH105" s="411"/>
      <c r="BI105" s="411"/>
      <c r="BJ105" s="411"/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1"/>
      <c r="BW105" s="411"/>
      <c r="BX105" s="411"/>
      <c r="BY105" s="411"/>
      <c r="BZ105" s="411"/>
      <c r="CA105" s="411"/>
      <c r="CB105" s="411"/>
      <c r="CC105" s="411"/>
      <c r="CD105" s="411"/>
      <c r="CE105" s="411"/>
      <c r="CF105" s="411"/>
    </row>
    <row r="106" spans="1:84" s="352" customFormat="1" ht="18.75">
      <c r="A106" s="5" t="s">
        <v>27</v>
      </c>
      <c r="B106" s="6" t="s">
        <v>92</v>
      </c>
      <c r="C106" s="136" t="s">
        <v>90</v>
      </c>
      <c r="D106" s="195">
        <v>26</v>
      </c>
      <c r="E106" s="195">
        <v>35</v>
      </c>
      <c r="F106" s="195">
        <v>36</v>
      </c>
      <c r="G106" s="264">
        <f t="shared" si="24"/>
        <v>102.85714285714285</v>
      </c>
      <c r="H106" s="642">
        <f>810.8+0.2</f>
        <v>811</v>
      </c>
      <c r="I106" s="266">
        <v>1142</v>
      </c>
      <c r="J106" s="266">
        <v>1142</v>
      </c>
      <c r="K106" s="32"/>
      <c r="L106" s="298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1"/>
      <c r="AQ106" s="411"/>
      <c r="AR106" s="411"/>
      <c r="AS106" s="411"/>
      <c r="AT106" s="411"/>
      <c r="AU106" s="411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/>
      <c r="BI106" s="411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1"/>
      <c r="BW106" s="411"/>
      <c r="BX106" s="411"/>
      <c r="BY106" s="411"/>
      <c r="BZ106" s="411"/>
      <c r="CA106" s="411"/>
      <c r="CB106" s="411"/>
      <c r="CC106" s="411"/>
      <c r="CD106" s="411"/>
      <c r="CE106" s="411"/>
      <c r="CF106" s="411"/>
    </row>
    <row r="107" spans="1:84" s="247" customFormat="1" ht="18.75">
      <c r="A107" s="5" t="s">
        <v>28</v>
      </c>
      <c r="B107" s="6" t="s">
        <v>94</v>
      </c>
      <c r="C107" s="136" t="s">
        <v>90</v>
      </c>
      <c r="D107" s="643">
        <v>18</v>
      </c>
      <c r="E107" s="195">
        <v>19</v>
      </c>
      <c r="F107" s="195">
        <v>20</v>
      </c>
      <c r="G107" s="586">
        <f>F107/E107*100</f>
        <v>105.26315789473684</v>
      </c>
      <c r="H107" s="643">
        <f>561.3-0.3</f>
        <v>561</v>
      </c>
      <c r="I107" s="643">
        <v>620</v>
      </c>
      <c r="J107" s="643">
        <v>620</v>
      </c>
      <c r="K107" s="587">
        <f>J107/I107*100</f>
        <v>100</v>
      </c>
      <c r="L107" s="309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</row>
    <row r="108" spans="1:84" s="247" customFormat="1" ht="18.75">
      <c r="A108" s="203" t="s">
        <v>95</v>
      </c>
      <c r="B108" s="204" t="s">
        <v>96</v>
      </c>
      <c r="C108" s="205" t="s">
        <v>61</v>
      </c>
      <c r="D108" s="259">
        <f>D109+D110+D111</f>
        <v>2671</v>
      </c>
      <c r="E108" s="259">
        <f t="shared" ref="E108:F108" si="55">E109+E110+E111</f>
        <v>2557</v>
      </c>
      <c r="F108" s="259">
        <f t="shared" si="55"/>
        <v>2550</v>
      </c>
      <c r="G108" s="257">
        <f>F108/E108*100</f>
        <v>99.726241689479849</v>
      </c>
      <c r="H108" s="259">
        <f>H109+H110+H111</f>
        <v>673383</v>
      </c>
      <c r="I108" s="259">
        <f t="shared" ref="I108:J108" si="56">I109+I110+I111</f>
        <v>698537</v>
      </c>
      <c r="J108" s="259">
        <f t="shared" si="56"/>
        <v>698537</v>
      </c>
      <c r="K108" s="587">
        <f>J108/I108*100</f>
        <v>100</v>
      </c>
      <c r="L108" s="309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</row>
    <row r="109" spans="1:84" s="247" customFormat="1" ht="18.75">
      <c r="A109" s="5" t="s">
        <v>97</v>
      </c>
      <c r="B109" s="6" t="s">
        <v>98</v>
      </c>
      <c r="C109" s="136" t="s">
        <v>61</v>
      </c>
      <c r="D109" s="266">
        <v>465</v>
      </c>
      <c r="E109" s="195">
        <v>421</v>
      </c>
      <c r="F109" s="195">
        <v>428</v>
      </c>
      <c r="G109" s="264">
        <f t="shared" ref="G109:G123" si="57">F109/E109*100</f>
        <v>101.66270783847982</v>
      </c>
      <c r="H109" s="266">
        <f>112962.3-0.3</f>
        <v>112962</v>
      </c>
      <c r="I109" s="266">
        <f>109888.1-0.1</f>
        <v>109888</v>
      </c>
      <c r="J109" s="266">
        <f>I109</f>
        <v>109888</v>
      </c>
      <c r="K109" s="588">
        <f t="shared" ref="K109:K123" si="58">J109/I109*100</f>
        <v>100</v>
      </c>
      <c r="L109" s="309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</row>
    <row r="110" spans="1:84" s="247" customFormat="1" ht="18.75">
      <c r="A110" s="5" t="s">
        <v>99</v>
      </c>
      <c r="B110" s="6" t="s">
        <v>100</v>
      </c>
      <c r="C110" s="136" t="s">
        <v>61</v>
      </c>
      <c r="D110" s="266">
        <v>1928</v>
      </c>
      <c r="E110" s="195">
        <v>1860</v>
      </c>
      <c r="F110" s="195">
        <v>1847</v>
      </c>
      <c r="G110" s="264">
        <f t="shared" si="57"/>
        <v>99.3010752688172</v>
      </c>
      <c r="H110" s="266">
        <f>410365.3-0.3</f>
        <v>410365</v>
      </c>
      <c r="I110" s="266">
        <f>424853.2-0.2</f>
        <v>424853</v>
      </c>
      <c r="J110" s="266">
        <f>424853.2-0.2</f>
        <v>424853</v>
      </c>
      <c r="K110" s="588">
        <f t="shared" si="58"/>
        <v>100</v>
      </c>
      <c r="L110" s="309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7"/>
      <c r="BU110" s="407"/>
      <c r="BV110" s="407"/>
      <c r="BW110" s="407"/>
      <c r="BX110" s="407"/>
      <c r="BY110" s="407"/>
      <c r="BZ110" s="407"/>
      <c r="CA110" s="407"/>
      <c r="CB110" s="407"/>
      <c r="CC110" s="407"/>
      <c r="CD110" s="407"/>
      <c r="CE110" s="407"/>
      <c r="CF110" s="407"/>
    </row>
    <row r="111" spans="1:84" s="262" customFormat="1" ht="31.5">
      <c r="A111" s="5" t="s">
        <v>223</v>
      </c>
      <c r="B111" s="6" t="s">
        <v>102</v>
      </c>
      <c r="C111" s="136" t="s">
        <v>61</v>
      </c>
      <c r="D111" s="589">
        <v>278</v>
      </c>
      <c r="E111" s="195">
        <v>276</v>
      </c>
      <c r="F111" s="195">
        <v>275</v>
      </c>
      <c r="G111" s="264">
        <f t="shared" si="57"/>
        <v>99.637681159420282</v>
      </c>
      <c r="H111" s="266">
        <f>150055.8+0.2</f>
        <v>150056</v>
      </c>
      <c r="I111" s="266">
        <f>163795.9+0.1</f>
        <v>163796</v>
      </c>
      <c r="J111" s="266">
        <f>I111</f>
        <v>163796</v>
      </c>
      <c r="K111" s="588">
        <f t="shared" si="58"/>
        <v>100</v>
      </c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</row>
    <row r="112" spans="1:84" s="262" customFormat="1" ht="18.75">
      <c r="A112" s="590"/>
      <c r="B112" s="594" t="s">
        <v>110</v>
      </c>
      <c r="C112" s="4"/>
      <c r="D112" s="259">
        <f>SUM(D113:D117)</f>
        <v>424</v>
      </c>
      <c r="E112" s="259">
        <f>SUM(E113:E117)</f>
        <v>544</v>
      </c>
      <c r="F112" s="259">
        <f>SUM(F113:F117)</f>
        <v>544</v>
      </c>
      <c r="G112" s="361">
        <f t="shared" si="57"/>
        <v>100</v>
      </c>
      <c r="H112" s="259">
        <f>SUM(H113:H117)</f>
        <v>31058</v>
      </c>
      <c r="I112" s="259">
        <f>SUM(I113:I117)</f>
        <v>36299</v>
      </c>
      <c r="J112" s="259">
        <f>SUM(J113:J117)</f>
        <v>36299</v>
      </c>
      <c r="K112" s="588">
        <f t="shared" si="58"/>
        <v>100</v>
      </c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</row>
    <row r="113" spans="1:84" s="262" customFormat="1" ht="15.75">
      <c r="A113" s="111" t="s">
        <v>4</v>
      </c>
      <c r="B113" s="2" t="s">
        <v>328</v>
      </c>
      <c r="C113" s="196" t="s">
        <v>112</v>
      </c>
      <c r="D113" s="589">
        <v>0</v>
      </c>
      <c r="E113" s="640">
        <v>120</v>
      </c>
      <c r="F113" s="640">
        <v>120</v>
      </c>
      <c r="G113" s="264">
        <f t="shared" si="57"/>
        <v>100</v>
      </c>
      <c r="H113" s="266">
        <v>0</v>
      </c>
      <c r="I113" s="266">
        <f>179.9+0.1</f>
        <v>180</v>
      </c>
      <c r="J113" s="266">
        <f>I113</f>
        <v>180</v>
      </c>
      <c r="K113" s="588">
        <f t="shared" si="58"/>
        <v>100</v>
      </c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</row>
    <row r="114" spans="1:84" s="262" customFormat="1" ht="31.5">
      <c r="A114" s="111" t="s">
        <v>6</v>
      </c>
      <c r="B114" s="2" t="s">
        <v>113</v>
      </c>
      <c r="C114" s="196" t="s">
        <v>114</v>
      </c>
      <c r="D114" s="641">
        <v>96</v>
      </c>
      <c r="E114" s="640">
        <v>96</v>
      </c>
      <c r="F114" s="640">
        <v>96</v>
      </c>
      <c r="G114" s="264">
        <f t="shared" si="57"/>
        <v>100</v>
      </c>
      <c r="H114" s="266">
        <v>11534</v>
      </c>
      <c r="I114" s="266">
        <f>12679.7+0.3</f>
        <v>12680</v>
      </c>
      <c r="J114" s="266">
        <f>I114</f>
        <v>12680</v>
      </c>
      <c r="K114" s="588">
        <f t="shared" si="58"/>
        <v>100</v>
      </c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</row>
    <row r="115" spans="1:84" s="262" customFormat="1" ht="63">
      <c r="A115" s="111" t="s">
        <v>8</v>
      </c>
      <c r="B115" s="52" t="s">
        <v>115</v>
      </c>
      <c r="C115" s="437" t="s">
        <v>116</v>
      </c>
      <c r="D115" s="641">
        <v>324</v>
      </c>
      <c r="E115" s="640">
        <v>324</v>
      </c>
      <c r="F115" s="640">
        <v>324</v>
      </c>
      <c r="G115" s="264">
        <f t="shared" si="57"/>
        <v>100</v>
      </c>
      <c r="H115" s="266">
        <v>17702</v>
      </c>
      <c r="I115" s="266">
        <f>21569.3-0.3</f>
        <v>21569</v>
      </c>
      <c r="J115" s="266">
        <f t="shared" ref="J115:J117" si="59">I115</f>
        <v>21569</v>
      </c>
      <c r="K115" s="588">
        <f t="shared" si="58"/>
        <v>100</v>
      </c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</row>
    <row r="116" spans="1:84" s="262" customFormat="1" ht="47.25">
      <c r="A116" s="111" t="s">
        <v>18</v>
      </c>
      <c r="B116" s="52" t="s">
        <v>184</v>
      </c>
      <c r="C116" s="196" t="s">
        <v>117</v>
      </c>
      <c r="D116" s="641">
        <v>2</v>
      </c>
      <c r="E116" s="640">
        <v>2</v>
      </c>
      <c r="F116" s="640">
        <v>2</v>
      </c>
      <c r="G116" s="264">
        <f t="shared" si="57"/>
        <v>100</v>
      </c>
      <c r="H116" s="266">
        <v>1040</v>
      </c>
      <c r="I116" s="266">
        <f>1063.4+0.6</f>
        <v>1064</v>
      </c>
      <c r="J116" s="266">
        <f t="shared" si="59"/>
        <v>1064</v>
      </c>
      <c r="K116" s="588">
        <f t="shared" si="58"/>
        <v>100</v>
      </c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</row>
    <row r="117" spans="1:84" s="262" customFormat="1" ht="63">
      <c r="A117" s="111" t="s">
        <v>21</v>
      </c>
      <c r="B117" s="52" t="s">
        <v>118</v>
      </c>
      <c r="C117" s="196" t="s">
        <v>117</v>
      </c>
      <c r="D117" s="641">
        <v>2</v>
      </c>
      <c r="E117" s="640">
        <v>2</v>
      </c>
      <c r="F117" s="640">
        <v>2</v>
      </c>
      <c r="G117" s="264">
        <f t="shared" si="57"/>
        <v>100</v>
      </c>
      <c r="H117" s="266">
        <v>782</v>
      </c>
      <c r="I117" s="266">
        <f>806.2-0.2</f>
        <v>806</v>
      </c>
      <c r="J117" s="266">
        <f t="shared" si="59"/>
        <v>806</v>
      </c>
      <c r="K117" s="588">
        <f t="shared" si="58"/>
        <v>100</v>
      </c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</row>
    <row r="118" spans="1:84" s="262" customFormat="1" ht="18.75">
      <c r="A118" s="590"/>
      <c r="B118" s="594" t="s">
        <v>119</v>
      </c>
      <c r="C118" s="206"/>
      <c r="D118" s="259">
        <f>SUM(D119:D123)</f>
        <v>626</v>
      </c>
      <c r="E118" s="259">
        <f>SUM(E119:E123)</f>
        <v>494</v>
      </c>
      <c r="F118" s="259">
        <f>SUM(F119:F123)</f>
        <v>494</v>
      </c>
      <c r="G118" s="257">
        <f t="shared" si="57"/>
        <v>100</v>
      </c>
      <c r="H118" s="259">
        <f>SUM(H119:H123)</f>
        <v>30566</v>
      </c>
      <c r="I118" s="259">
        <f>SUM(I119:I123)</f>
        <v>26310</v>
      </c>
      <c r="J118" s="259">
        <f>SUM(J119:J123)</f>
        <v>26310</v>
      </c>
      <c r="K118" s="587">
        <f t="shared" si="58"/>
        <v>100</v>
      </c>
      <c r="L118" s="623">
        <f>I118-J118</f>
        <v>0</v>
      </c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</row>
    <row r="119" spans="1:84" s="262" customFormat="1" ht="15.75">
      <c r="A119" s="181" t="s">
        <v>4</v>
      </c>
      <c r="B119" s="80" t="s">
        <v>111</v>
      </c>
      <c r="C119" s="182" t="s">
        <v>9</v>
      </c>
      <c r="D119" s="589">
        <v>326</v>
      </c>
      <c r="E119" s="184">
        <v>201</v>
      </c>
      <c r="F119" s="184">
        <v>201</v>
      </c>
      <c r="G119" s="264">
        <f t="shared" si="57"/>
        <v>100</v>
      </c>
      <c r="H119" s="268">
        <v>14293</v>
      </c>
      <c r="I119" s="268">
        <f>9775+1</f>
        <v>9776</v>
      </c>
      <c r="J119" s="268">
        <f>9775+1</f>
        <v>9776</v>
      </c>
      <c r="K119" s="588">
        <f t="shared" si="58"/>
        <v>100</v>
      </c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</row>
    <row r="120" spans="1:84" s="262" customFormat="1" ht="31.5">
      <c r="A120" s="181" t="s">
        <v>6</v>
      </c>
      <c r="B120" s="80" t="s">
        <v>120</v>
      </c>
      <c r="C120" s="185" t="s">
        <v>117</v>
      </c>
      <c r="D120" s="589">
        <v>4</v>
      </c>
      <c r="E120" s="4">
        <v>4</v>
      </c>
      <c r="F120" s="4">
        <v>4</v>
      </c>
      <c r="G120" s="264">
        <f t="shared" si="57"/>
        <v>100</v>
      </c>
      <c r="H120" s="268">
        <v>1781</v>
      </c>
      <c r="I120" s="268">
        <v>1793</v>
      </c>
      <c r="J120" s="268">
        <v>1793</v>
      </c>
      <c r="K120" s="588">
        <f t="shared" si="58"/>
        <v>100</v>
      </c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</row>
    <row r="121" spans="1:84" s="262" customFormat="1" ht="31.5">
      <c r="A121" s="181" t="s">
        <v>8</v>
      </c>
      <c r="B121" s="85" t="s">
        <v>121</v>
      </c>
      <c r="C121" s="186" t="s">
        <v>208</v>
      </c>
      <c r="D121" s="589">
        <v>9</v>
      </c>
      <c r="E121" s="640">
        <v>9</v>
      </c>
      <c r="F121" s="640">
        <v>9</v>
      </c>
      <c r="G121" s="264">
        <f t="shared" si="57"/>
        <v>100</v>
      </c>
      <c r="H121" s="268">
        <v>3666</v>
      </c>
      <c r="I121" s="268">
        <v>3839</v>
      </c>
      <c r="J121" s="268">
        <v>3839</v>
      </c>
      <c r="K121" s="588">
        <f t="shared" si="58"/>
        <v>100</v>
      </c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</row>
    <row r="122" spans="1:84" s="262" customFormat="1" ht="47.25">
      <c r="A122" s="181" t="s">
        <v>18</v>
      </c>
      <c r="B122" s="85" t="s">
        <v>122</v>
      </c>
      <c r="C122" s="186" t="s">
        <v>114</v>
      </c>
      <c r="D122" s="589">
        <v>200</v>
      </c>
      <c r="E122" s="640">
        <v>200</v>
      </c>
      <c r="F122" s="640">
        <v>200</v>
      </c>
      <c r="G122" s="264">
        <f t="shared" si="57"/>
        <v>100</v>
      </c>
      <c r="H122" s="268">
        <v>4477</v>
      </c>
      <c r="I122" s="268">
        <v>4508</v>
      </c>
      <c r="J122" s="268">
        <v>4508</v>
      </c>
      <c r="K122" s="588">
        <f t="shared" si="58"/>
        <v>100</v>
      </c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</row>
    <row r="123" spans="1:84" s="262" customFormat="1" ht="31.5">
      <c r="A123" s="181" t="s">
        <v>21</v>
      </c>
      <c r="B123" s="85" t="s">
        <v>123</v>
      </c>
      <c r="C123" s="186" t="s">
        <v>124</v>
      </c>
      <c r="D123" s="589">
        <v>87</v>
      </c>
      <c r="E123" s="640">
        <v>80</v>
      </c>
      <c r="F123" s="640">
        <v>80</v>
      </c>
      <c r="G123" s="264">
        <f t="shared" si="57"/>
        <v>100</v>
      </c>
      <c r="H123" s="268">
        <v>6349</v>
      </c>
      <c r="I123" s="268">
        <v>6394</v>
      </c>
      <c r="J123" s="268">
        <v>6394</v>
      </c>
      <c r="K123" s="588">
        <f t="shared" si="58"/>
        <v>100</v>
      </c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</row>
    <row r="124" spans="1:84" s="262" customFormat="1" ht="15.75">
      <c r="A124" s="181"/>
      <c r="B124" s="85"/>
      <c r="C124" s="186"/>
      <c r="D124" s="589"/>
      <c r="E124" s="640"/>
      <c r="F124" s="640"/>
      <c r="G124" s="264"/>
      <c r="H124" s="268"/>
      <c r="I124" s="268"/>
      <c r="J124" s="268"/>
      <c r="K124" s="588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</row>
    <row r="125" spans="1:84" s="262" customFormat="1" ht="15.75">
      <c r="A125" s="331"/>
      <c r="B125" s="274" t="s">
        <v>344</v>
      </c>
      <c r="C125" s="3" t="s">
        <v>322</v>
      </c>
      <c r="D125" s="34">
        <v>120</v>
      </c>
      <c r="E125" s="34">
        <f>210+515</f>
        <v>725</v>
      </c>
      <c r="F125" s="34">
        <f>210+515</f>
        <v>725</v>
      </c>
      <c r="G125" s="3">
        <v>100</v>
      </c>
      <c r="H125" s="577">
        <f>326+639</f>
        <v>965</v>
      </c>
      <c r="I125" s="577">
        <f>710+1651</f>
        <v>2361</v>
      </c>
      <c r="J125" s="577">
        <f>710+1651</f>
        <v>2361</v>
      </c>
      <c r="K125" s="63">
        <v>100</v>
      </c>
      <c r="L125" s="309" t="s">
        <v>315</v>
      </c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</row>
    <row r="126" spans="1:84" s="262" customFormat="1" ht="37.5">
      <c r="A126" s="181"/>
      <c r="B126" s="595" t="s">
        <v>262</v>
      </c>
      <c r="C126" s="186"/>
      <c r="D126" s="7"/>
      <c r="E126" s="112"/>
      <c r="F126" s="112"/>
      <c r="G126" s="131"/>
      <c r="H126" s="515">
        <f>639+18650+803-2587</f>
        <v>17505</v>
      </c>
      <c r="I126" s="515">
        <f>20289+65</f>
        <v>20354</v>
      </c>
      <c r="J126" s="515"/>
      <c r="K126" s="63">
        <v>100</v>
      </c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</row>
    <row r="127" spans="1:84" s="262" customFormat="1" ht="15.75">
      <c r="A127" s="181"/>
      <c r="B127" s="85"/>
      <c r="C127" s="186"/>
      <c r="D127" s="7"/>
      <c r="E127" s="112"/>
      <c r="F127" s="112"/>
      <c r="G127" s="131"/>
      <c r="H127" s="515"/>
      <c r="I127" s="515"/>
      <c r="J127" s="515"/>
      <c r="K127" s="588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</row>
    <row r="128" spans="1:84" s="611" customFormat="1" ht="20.25">
      <c r="A128" s="604"/>
      <c r="B128" s="605" t="s">
        <v>304</v>
      </c>
      <c r="C128" s="606"/>
      <c r="D128" s="607">
        <f>ROUND(D7+D24+D54+D58,0)</f>
        <v>332274</v>
      </c>
      <c r="E128" s="607">
        <f>ROUND(E7+E24+E54+E58,0)</f>
        <v>333239</v>
      </c>
      <c r="F128" s="607">
        <f>ROUND(F7+F24+F54+F58,0)</f>
        <v>335845</v>
      </c>
      <c r="G128" s="608">
        <f>F128/E128*100</f>
        <v>100.7820213120313</v>
      </c>
      <c r="H128" s="609">
        <f>ROUND(H7+H24+H54+H58,0)</f>
        <v>1970637</v>
      </c>
      <c r="I128" s="609">
        <f>ROUND(I7+I24+I54+I58,0)</f>
        <v>1967907</v>
      </c>
      <c r="J128" s="609">
        <f>ROUND(J7+J24+J54+J58,0)</f>
        <v>1935466</v>
      </c>
      <c r="K128" s="608">
        <f>J128/I128*100</f>
        <v>98.351497301447679</v>
      </c>
      <c r="L128" s="610"/>
      <c r="M128" s="610"/>
      <c r="N128" s="610"/>
      <c r="O128" s="610"/>
      <c r="P128" s="610"/>
      <c r="Q128" s="610"/>
      <c r="R128" s="610"/>
      <c r="S128" s="610"/>
      <c r="T128" s="610"/>
      <c r="U128" s="610"/>
      <c r="V128" s="610"/>
      <c r="W128" s="610"/>
      <c r="X128" s="610"/>
      <c r="Y128" s="610"/>
      <c r="Z128" s="610"/>
      <c r="AA128" s="610"/>
      <c r="AB128" s="610"/>
      <c r="AC128" s="610"/>
      <c r="AD128" s="610"/>
      <c r="AE128" s="610"/>
      <c r="AF128" s="610"/>
      <c r="AG128" s="610"/>
      <c r="AH128" s="610"/>
      <c r="AI128" s="610"/>
      <c r="AJ128" s="610"/>
      <c r="AK128" s="610"/>
      <c r="AL128" s="610"/>
      <c r="AM128" s="610"/>
      <c r="AN128" s="610"/>
      <c r="AO128" s="610"/>
      <c r="AP128" s="610"/>
      <c r="AQ128" s="610"/>
      <c r="AR128" s="610"/>
      <c r="AS128" s="610"/>
      <c r="AT128" s="610"/>
      <c r="AU128" s="610"/>
      <c r="AV128" s="610"/>
      <c r="AW128" s="610"/>
      <c r="AX128" s="610"/>
      <c r="AY128" s="610"/>
      <c r="AZ128" s="610"/>
      <c r="BA128" s="610"/>
      <c r="BB128" s="610"/>
      <c r="BC128" s="610"/>
      <c r="BD128" s="610"/>
      <c r="BE128" s="610"/>
      <c r="BF128" s="610"/>
      <c r="BG128" s="610"/>
      <c r="BH128" s="610"/>
      <c r="BI128" s="610"/>
      <c r="BJ128" s="610"/>
      <c r="BK128" s="610"/>
      <c r="BL128" s="610"/>
      <c r="BM128" s="610"/>
      <c r="BN128" s="610"/>
      <c r="BO128" s="610"/>
      <c r="BP128" s="610"/>
      <c r="BQ128" s="610"/>
      <c r="BR128" s="610"/>
      <c r="BS128" s="610"/>
      <c r="BT128" s="610"/>
      <c r="BU128" s="610"/>
      <c r="BV128" s="610"/>
      <c r="BW128" s="610"/>
      <c r="BX128" s="610"/>
      <c r="BY128" s="610"/>
      <c r="BZ128" s="610"/>
      <c r="CA128" s="610"/>
      <c r="CB128" s="610"/>
      <c r="CC128" s="610"/>
      <c r="CD128" s="610"/>
      <c r="CE128" s="610"/>
      <c r="CF128" s="610"/>
    </row>
    <row r="129" spans="1:12">
      <c r="A129" s="591"/>
      <c r="B129" s="600"/>
      <c r="E129" s="309"/>
      <c r="F129" s="309"/>
      <c r="G129" s="398"/>
      <c r="H129" s="616">
        <f>H58</f>
        <v>1571618</v>
      </c>
      <c r="I129" s="616">
        <f t="shared" ref="I129:J129" si="60">I58</f>
        <v>1563484</v>
      </c>
      <c r="J129" s="616">
        <f t="shared" si="60"/>
        <v>1543130</v>
      </c>
      <c r="K129" s="309"/>
      <c r="L129" s="309"/>
    </row>
    <row r="130" spans="1:12">
      <c r="D130" s="401"/>
      <c r="E130" s="402"/>
      <c r="F130" s="402"/>
      <c r="G130" s="235" t="s">
        <v>329</v>
      </c>
      <c r="H130" s="403">
        <f>1570815+803</f>
        <v>1571618</v>
      </c>
      <c r="I130" s="403">
        <v>1560484</v>
      </c>
      <c r="J130" s="403">
        <v>1540194</v>
      </c>
    </row>
    <row r="131" spans="1:12">
      <c r="H131" s="403">
        <f>H58-H130</f>
        <v>0</v>
      </c>
      <c r="I131" s="403">
        <f>I58-I130</f>
        <v>3000</v>
      </c>
      <c r="J131" s="403">
        <f>J58-J130</f>
        <v>2936</v>
      </c>
    </row>
    <row r="132" spans="1:12">
      <c r="D132" s="619" t="s">
        <v>347</v>
      </c>
      <c r="E132" s="620"/>
      <c r="F132" s="405" t="s">
        <v>331</v>
      </c>
      <c r="G132" s="235" t="s">
        <v>330</v>
      </c>
      <c r="H132" s="403">
        <f>765+38</f>
        <v>803</v>
      </c>
      <c r="I132" s="403">
        <v>64</v>
      </c>
      <c r="J132" s="403"/>
    </row>
    <row r="133" spans="1:12">
      <c r="D133" s="621" t="s">
        <v>348</v>
      </c>
      <c r="E133" s="622"/>
      <c r="F133" s="234" t="s">
        <v>332</v>
      </c>
      <c r="G133" s="235" t="s">
        <v>330</v>
      </c>
      <c r="H133" s="403">
        <v>803</v>
      </c>
      <c r="I133" s="403">
        <f>2860+140</f>
        <v>3000</v>
      </c>
      <c r="J133" s="403">
        <f>2804+132</f>
        <v>2936</v>
      </c>
    </row>
    <row r="140" spans="1:12">
      <c r="H140" s="617"/>
      <c r="I140" s="617"/>
      <c r="J140" s="617"/>
      <c r="K140" s="617"/>
    </row>
    <row r="141" spans="1:12">
      <c r="G141" s="235" t="s">
        <v>345</v>
      </c>
      <c r="H141" s="617">
        <v>1970637</v>
      </c>
      <c r="I141" s="617">
        <v>1967907</v>
      </c>
      <c r="J141" s="617">
        <v>1935466</v>
      </c>
      <c r="K141" s="617"/>
    </row>
    <row r="142" spans="1:12">
      <c r="G142" s="235" t="s">
        <v>346</v>
      </c>
      <c r="H142" s="618">
        <f>H141-H128</f>
        <v>0</v>
      </c>
      <c r="I142" s="618">
        <f t="shared" ref="I142:J142" si="61">I141-I128</f>
        <v>0</v>
      </c>
      <c r="J142" s="618">
        <f t="shared" si="61"/>
        <v>0</v>
      </c>
    </row>
  </sheetData>
  <mergeCells count="5">
    <mergeCell ref="A1:K2"/>
    <mergeCell ref="A4:A5"/>
    <mergeCell ref="B4:B5"/>
    <mergeCell ref="C4:G4"/>
    <mergeCell ref="H4:K4"/>
  </mergeCells>
  <pageMargins left="0.11811023622047245" right="0.11811023622047245" top="0.15748031496062992" bottom="0.15748031496062992" header="0.31496062992125984" footer="0.31496062992125984"/>
  <pageSetup paperSize="9" scale="48" fitToHeight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F146"/>
  <sheetViews>
    <sheetView topLeftCell="A52" zoomScale="75" zoomScaleNormal="75" workbookViewId="0">
      <selection activeCell="H69" sqref="H69"/>
    </sheetView>
  </sheetViews>
  <sheetFormatPr defaultColWidth="8" defaultRowHeight="16.5"/>
  <cols>
    <col min="1" max="1" width="6" style="231" customWidth="1"/>
    <col min="2" max="2" width="99.140625" style="601" customWidth="1"/>
    <col min="3" max="3" width="33.42578125" style="453" customWidth="1"/>
    <col min="4" max="4" width="18.5703125" style="233" customWidth="1"/>
    <col min="5" max="5" width="15.7109375" style="234" customWidth="1"/>
    <col min="6" max="6" width="16" style="234" customWidth="1"/>
    <col min="7" max="7" width="13.42578125" style="235" customWidth="1"/>
    <col min="8" max="8" width="17.42578125" style="419" customWidth="1"/>
    <col min="9" max="9" width="16.85546875" style="419" customWidth="1"/>
    <col min="10" max="10" width="17.140625" style="419" customWidth="1"/>
    <col min="11" max="11" width="13" style="419" customWidth="1"/>
    <col min="12" max="12" width="17.42578125" style="234" customWidth="1"/>
    <col min="13" max="13" width="11.42578125" style="234" bestFit="1" customWidth="1"/>
    <col min="14" max="14" width="14" style="234" bestFit="1" customWidth="1"/>
    <col min="15" max="15" width="15.5703125" style="234" customWidth="1"/>
    <col min="16" max="84" width="8" style="234"/>
    <col min="85" max="16384" width="8" style="230"/>
  </cols>
  <sheetData>
    <row r="1" spans="1:84">
      <c r="A1" s="837" t="s">
        <v>317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</row>
    <row r="2" spans="1:84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</row>
    <row r="3" spans="1:84" ht="32.25" customHeight="1"/>
    <row r="4" spans="1:84" s="232" customFormat="1" ht="45.75" customHeight="1">
      <c r="A4" s="843" t="s">
        <v>0</v>
      </c>
      <c r="B4" s="845" t="s">
        <v>1</v>
      </c>
      <c r="C4" s="846" t="s">
        <v>244</v>
      </c>
      <c r="D4" s="846"/>
      <c r="E4" s="846"/>
      <c r="F4" s="846"/>
      <c r="G4" s="846"/>
      <c r="H4" s="847" t="s">
        <v>245</v>
      </c>
      <c r="I4" s="847"/>
      <c r="J4" s="847"/>
      <c r="K4" s="847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</row>
    <row r="5" spans="1:84" s="232" customFormat="1" ht="78.75">
      <c r="A5" s="844"/>
      <c r="B5" s="845"/>
      <c r="C5" s="626" t="s">
        <v>2</v>
      </c>
      <c r="D5" s="613" t="s">
        <v>316</v>
      </c>
      <c r="E5" s="626" t="s">
        <v>247</v>
      </c>
      <c r="F5" s="614" t="s">
        <v>318</v>
      </c>
      <c r="G5" s="627" t="s">
        <v>249</v>
      </c>
      <c r="H5" s="655" t="s">
        <v>316</v>
      </c>
      <c r="I5" s="655" t="s">
        <v>247</v>
      </c>
      <c r="J5" s="656" t="s">
        <v>318</v>
      </c>
      <c r="K5" s="657" t="s">
        <v>249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</row>
    <row r="6" spans="1:84" s="232" customFormat="1" ht="15">
      <c r="A6" s="240">
        <v>1</v>
      </c>
      <c r="B6" s="597">
        <v>2</v>
      </c>
      <c r="C6" s="455">
        <v>3</v>
      </c>
      <c r="D6" s="241">
        <v>4</v>
      </c>
      <c r="E6" s="241">
        <v>5</v>
      </c>
      <c r="F6" s="240">
        <v>6</v>
      </c>
      <c r="G6" s="241">
        <v>7</v>
      </c>
      <c r="H6" s="658">
        <v>8</v>
      </c>
      <c r="I6" s="659">
        <v>9</v>
      </c>
      <c r="J6" s="659">
        <v>10</v>
      </c>
      <c r="K6" s="659">
        <v>11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</row>
    <row r="7" spans="1:84" s="247" customFormat="1" ht="40.5">
      <c r="A7" s="242" t="s">
        <v>250</v>
      </c>
      <c r="B7" s="598" t="s">
        <v>251</v>
      </c>
      <c r="C7" s="456">
        <f>C8+C17</f>
        <v>0</v>
      </c>
      <c r="D7" s="245">
        <f>D8+D17</f>
        <v>215939</v>
      </c>
      <c r="E7" s="245">
        <f>E8+E17</f>
        <v>213548</v>
      </c>
      <c r="F7" s="245">
        <f>F8+F17</f>
        <v>215806.5</v>
      </c>
      <c r="G7" s="246">
        <f t="shared" ref="G7" si="0">G8</f>
        <v>100</v>
      </c>
      <c r="H7" s="660">
        <f>H8+H17</f>
        <v>236352</v>
      </c>
      <c r="I7" s="660">
        <f>I8+I17</f>
        <v>238912</v>
      </c>
      <c r="J7" s="660">
        <f>J8+J17</f>
        <v>231038</v>
      </c>
      <c r="K7" s="661">
        <f>J7/I7*100</f>
        <v>96.704225823734262</v>
      </c>
      <c r="L7" s="406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</row>
    <row r="8" spans="1:84" s="256" customFormat="1" ht="18.75">
      <c r="A8" s="248"/>
      <c r="B8" s="594" t="s">
        <v>319</v>
      </c>
      <c r="C8" s="54"/>
      <c r="D8" s="507">
        <f>D9+D125</f>
        <v>178271</v>
      </c>
      <c r="E8" s="507">
        <f>E9+E125</f>
        <v>175880</v>
      </c>
      <c r="F8" s="507">
        <f>F9+F125</f>
        <v>175880</v>
      </c>
      <c r="G8" s="508">
        <f>F8/E8*100</f>
        <v>100</v>
      </c>
      <c r="H8" s="662">
        <f>H9+H16</f>
        <v>71376</v>
      </c>
      <c r="I8" s="662">
        <f>I9+I16</f>
        <v>72779</v>
      </c>
      <c r="J8" s="662">
        <f>J9+J16</f>
        <v>69683</v>
      </c>
      <c r="K8" s="663">
        <f>J8/I8*100</f>
        <v>95.746025639264076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</row>
    <row r="9" spans="1:84" s="262" customFormat="1" ht="31.5">
      <c r="A9" s="248"/>
      <c r="B9" s="204" t="s">
        <v>254</v>
      </c>
      <c r="C9" s="522" t="s">
        <v>5</v>
      </c>
      <c r="D9" s="510">
        <f>SUM(D10:D15)</f>
        <v>178151</v>
      </c>
      <c r="E9" s="510">
        <f t="shared" ref="E9:F9" si="1">SUM(E10:E15)</f>
        <v>175155</v>
      </c>
      <c r="F9" s="510">
        <f t="shared" si="1"/>
        <v>175155</v>
      </c>
      <c r="G9" s="508">
        <f t="shared" ref="G9:G15" si="2">F9/E9*100</f>
        <v>100</v>
      </c>
      <c r="H9" s="552">
        <f>SUM(H10:H15)</f>
        <v>71066</v>
      </c>
      <c r="I9" s="552">
        <f>SUM(I10:I15)</f>
        <v>71328</v>
      </c>
      <c r="J9" s="552">
        <f>SUM(J10:J15)</f>
        <v>69683</v>
      </c>
      <c r="K9" s="664">
        <f t="shared" ref="K9:K52" si="3">J9/I9*100</f>
        <v>97.693752803947959</v>
      </c>
      <c r="L9" s="408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</row>
    <row r="10" spans="1:84" s="262" customFormat="1" ht="15.75">
      <c r="A10" s="248"/>
      <c r="B10" s="6" t="s">
        <v>154</v>
      </c>
      <c r="C10" s="437" t="s">
        <v>5</v>
      </c>
      <c r="D10" s="512">
        <v>23592</v>
      </c>
      <c r="E10" s="513">
        <v>22827</v>
      </c>
      <c r="F10" s="513">
        <v>22827</v>
      </c>
      <c r="G10" s="514">
        <f t="shared" si="2"/>
        <v>100</v>
      </c>
      <c r="H10" s="554">
        <v>13566</v>
      </c>
      <c r="I10" s="554">
        <v>14840</v>
      </c>
      <c r="J10" s="554">
        <v>14497</v>
      </c>
      <c r="K10" s="665">
        <f t="shared" si="3"/>
        <v>97.688679245283012</v>
      </c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</row>
    <row r="11" spans="1:84" s="270" customFormat="1" ht="15.75">
      <c r="A11" s="248"/>
      <c r="B11" s="6" t="s">
        <v>155</v>
      </c>
      <c r="C11" s="437" t="s">
        <v>5</v>
      </c>
      <c r="D11" s="512">
        <v>22582</v>
      </c>
      <c r="E11" s="513">
        <v>21569</v>
      </c>
      <c r="F11" s="513">
        <v>21569</v>
      </c>
      <c r="G11" s="514">
        <f t="shared" si="2"/>
        <v>100</v>
      </c>
      <c r="H11" s="554">
        <v>14181</v>
      </c>
      <c r="I11" s="554">
        <v>13859</v>
      </c>
      <c r="J11" s="554">
        <v>13540</v>
      </c>
      <c r="K11" s="665">
        <f t="shared" si="3"/>
        <v>97.698246626740755</v>
      </c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</row>
    <row r="12" spans="1:84" s="256" customFormat="1" ht="15.75">
      <c r="A12" s="263"/>
      <c r="B12" s="6" t="s">
        <v>255</v>
      </c>
      <c r="C12" s="437" t="s">
        <v>5</v>
      </c>
      <c r="D12" s="512">
        <v>12056</v>
      </c>
      <c r="E12" s="513">
        <v>11612</v>
      </c>
      <c r="F12" s="513">
        <v>11612</v>
      </c>
      <c r="G12" s="514">
        <f t="shared" si="2"/>
        <v>100</v>
      </c>
      <c r="H12" s="554">
        <v>11798</v>
      </c>
      <c r="I12" s="554">
        <v>11426</v>
      </c>
      <c r="J12" s="554">
        <v>11162</v>
      </c>
      <c r="K12" s="665">
        <f t="shared" si="3"/>
        <v>97.689480133029932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</row>
    <row r="13" spans="1:84" s="270" customFormat="1" ht="15.75">
      <c r="A13" s="248"/>
      <c r="B13" s="6" t="s">
        <v>158</v>
      </c>
      <c r="C13" s="437" t="s">
        <v>5</v>
      </c>
      <c r="D13" s="512">
        <v>6240</v>
      </c>
      <c r="E13" s="513">
        <v>5989</v>
      </c>
      <c r="F13" s="513">
        <v>5989</v>
      </c>
      <c r="G13" s="514">
        <f t="shared" si="2"/>
        <v>100</v>
      </c>
      <c r="H13" s="554">
        <v>6753</v>
      </c>
      <c r="I13" s="554">
        <v>6390</v>
      </c>
      <c r="J13" s="554">
        <v>6243</v>
      </c>
      <c r="K13" s="665">
        <f t="shared" si="3"/>
        <v>97.699530516431921</v>
      </c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</row>
    <row r="14" spans="1:84" s="270" customFormat="1" ht="15.75">
      <c r="A14" s="263"/>
      <c r="B14" s="6" t="s">
        <v>157</v>
      </c>
      <c r="C14" s="437" t="s">
        <v>5</v>
      </c>
      <c r="D14" s="512">
        <v>49616</v>
      </c>
      <c r="E14" s="513">
        <v>48429</v>
      </c>
      <c r="F14" s="513">
        <v>48429</v>
      </c>
      <c r="G14" s="514">
        <f t="shared" si="2"/>
        <v>100</v>
      </c>
      <c r="H14" s="554">
        <v>14193</v>
      </c>
      <c r="I14" s="554">
        <v>14200</v>
      </c>
      <c r="J14" s="554">
        <v>13873</v>
      </c>
      <c r="K14" s="665">
        <f t="shared" si="3"/>
        <v>97.697183098591552</v>
      </c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</row>
    <row r="15" spans="1:84" s="270" customFormat="1" ht="15.75">
      <c r="A15" s="263"/>
      <c r="B15" s="6" t="s">
        <v>159</v>
      </c>
      <c r="C15" s="437" t="s">
        <v>5</v>
      </c>
      <c r="D15" s="512">
        <v>64065</v>
      </c>
      <c r="E15" s="513">
        <v>64729</v>
      </c>
      <c r="F15" s="513">
        <v>64729</v>
      </c>
      <c r="G15" s="514">
        <f t="shared" si="2"/>
        <v>100</v>
      </c>
      <c r="H15" s="554">
        <v>10575</v>
      </c>
      <c r="I15" s="554">
        <v>10613</v>
      </c>
      <c r="J15" s="554">
        <v>10368</v>
      </c>
      <c r="K15" s="665">
        <f t="shared" si="3"/>
        <v>97.691510411759168</v>
      </c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</row>
    <row r="16" spans="1:84" s="273" customFormat="1" ht="37.5">
      <c r="A16" s="263"/>
      <c r="B16" s="595" t="s">
        <v>262</v>
      </c>
      <c r="C16" s="437"/>
      <c r="D16" s="512"/>
      <c r="E16" s="513"/>
      <c r="F16" s="513"/>
      <c r="G16" s="514"/>
      <c r="H16" s="554">
        <f>71376.1-71066-0.1</f>
        <v>310.0000000000058</v>
      </c>
      <c r="I16" s="554">
        <f>72779.6-71328-0.6</f>
        <v>1451.0000000000059</v>
      </c>
      <c r="J16" s="554"/>
      <c r="K16" s="665">
        <f t="shared" si="3"/>
        <v>0</v>
      </c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</row>
    <row r="17" spans="1:84" s="247" customFormat="1" ht="18.75">
      <c r="A17" s="248"/>
      <c r="B17" s="594" t="s">
        <v>160</v>
      </c>
      <c r="C17" s="525"/>
      <c r="D17" s="516">
        <f>D18+D19+D20+D23+D22+D21</f>
        <v>37668</v>
      </c>
      <c r="E17" s="516">
        <f t="shared" ref="E17:F17" si="4">E18+E19+E20+E23+E22+E21</f>
        <v>37668</v>
      </c>
      <c r="F17" s="516">
        <f t="shared" si="4"/>
        <v>39926.5</v>
      </c>
      <c r="G17" s="508">
        <f t="shared" ref="G17:G52" si="5">F17/E17*100</f>
        <v>105.99580545821388</v>
      </c>
      <c r="H17" s="552">
        <f>SUM(H18:H23)</f>
        <v>164976</v>
      </c>
      <c r="I17" s="552">
        <f>SUM(I18:I23)</f>
        <v>166133</v>
      </c>
      <c r="J17" s="552">
        <f>SUM(J18:J23)</f>
        <v>161355</v>
      </c>
      <c r="K17" s="664">
        <f>J17/I17*100</f>
        <v>97.123991019243618</v>
      </c>
      <c r="L17" s="309"/>
      <c r="M17" s="439"/>
      <c r="N17" s="440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</row>
    <row r="18" spans="1:84" s="247" customFormat="1" ht="18.75">
      <c r="A18" s="79" t="s">
        <v>4</v>
      </c>
      <c r="B18" s="80" t="s">
        <v>161</v>
      </c>
      <c r="C18" s="526" t="s">
        <v>162</v>
      </c>
      <c r="D18" s="118">
        <v>15</v>
      </c>
      <c r="E18" s="118">
        <v>15</v>
      </c>
      <c r="F18" s="118">
        <v>40</v>
      </c>
      <c r="G18" s="508">
        <f t="shared" si="5"/>
        <v>266.66666666666663</v>
      </c>
      <c r="H18" s="666">
        <v>12300</v>
      </c>
      <c r="I18" s="666">
        <f>12673.1-0.1</f>
        <v>12673</v>
      </c>
      <c r="J18" s="666">
        <f>12343.9+0.1</f>
        <v>12344</v>
      </c>
      <c r="K18" s="664">
        <f t="shared" si="3"/>
        <v>97.403929614140296</v>
      </c>
      <c r="L18" s="309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</row>
    <row r="19" spans="1:84" s="247" customFormat="1" ht="18.75">
      <c r="A19" s="82" t="s">
        <v>6</v>
      </c>
      <c r="B19" s="83" t="s">
        <v>164</v>
      </c>
      <c r="C19" s="526" t="s">
        <v>165</v>
      </c>
      <c r="D19" s="118">
        <v>37600</v>
      </c>
      <c r="E19" s="118">
        <v>37600</v>
      </c>
      <c r="F19" s="118">
        <v>39812</v>
      </c>
      <c r="G19" s="508">
        <f t="shared" si="5"/>
        <v>105.88297872340426</v>
      </c>
      <c r="H19" s="666">
        <v>48349</v>
      </c>
      <c r="I19" s="666">
        <f>47169.2-0.2</f>
        <v>47169</v>
      </c>
      <c r="J19" s="666">
        <f>45944.2-0.2</f>
        <v>45944</v>
      </c>
      <c r="K19" s="664">
        <f t="shared" si="3"/>
        <v>97.402955330831688</v>
      </c>
      <c r="L19" s="309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</row>
    <row r="20" spans="1:84" s="247" customFormat="1" ht="32.25">
      <c r="A20" s="79" t="s">
        <v>8</v>
      </c>
      <c r="B20" s="84" t="s">
        <v>166</v>
      </c>
      <c r="C20" s="526" t="s">
        <v>167</v>
      </c>
      <c r="D20" s="118">
        <v>23</v>
      </c>
      <c r="E20" s="118">
        <v>23</v>
      </c>
      <c r="F20" s="118">
        <v>24.5</v>
      </c>
      <c r="G20" s="508">
        <f t="shared" si="5"/>
        <v>106.5217391304348</v>
      </c>
      <c r="H20" s="666">
        <v>95783</v>
      </c>
      <c r="I20" s="666">
        <f>101696.9+0.1</f>
        <v>101697</v>
      </c>
      <c r="J20" s="666">
        <f>99056.4-0.4</f>
        <v>99056</v>
      </c>
      <c r="K20" s="664">
        <f t="shared" si="3"/>
        <v>97.403069903733638</v>
      </c>
      <c r="L20" s="309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</row>
    <row r="21" spans="1:84" s="247" customFormat="1" ht="48">
      <c r="A21" s="79" t="s">
        <v>18</v>
      </c>
      <c r="B21" s="84" t="s">
        <v>168</v>
      </c>
      <c r="C21" s="526" t="s">
        <v>185</v>
      </c>
      <c r="D21" s="118">
        <v>20</v>
      </c>
      <c r="E21" s="118">
        <v>20</v>
      </c>
      <c r="F21" s="118">
        <v>22</v>
      </c>
      <c r="G21" s="508">
        <f t="shared" si="5"/>
        <v>110.00000000000001</v>
      </c>
      <c r="H21" s="666">
        <v>2692</v>
      </c>
      <c r="I21" s="666">
        <f>4117.7/30*20-0.1</f>
        <v>2745.0333333333333</v>
      </c>
      <c r="J21" s="666">
        <f>2673.7+0.3</f>
        <v>2674</v>
      </c>
      <c r="K21" s="664">
        <f t="shared" si="3"/>
        <v>97.412296146980609</v>
      </c>
      <c r="L21" s="309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</row>
    <row r="22" spans="1:84" s="247" customFormat="1" ht="48">
      <c r="A22" s="79" t="s">
        <v>21</v>
      </c>
      <c r="B22" s="84" t="s">
        <v>168</v>
      </c>
      <c r="C22" s="526" t="s">
        <v>186</v>
      </c>
      <c r="D22" s="118">
        <v>10</v>
      </c>
      <c r="E22" s="118">
        <v>10</v>
      </c>
      <c r="F22" s="118">
        <v>28</v>
      </c>
      <c r="G22" s="508">
        <f t="shared" si="5"/>
        <v>280</v>
      </c>
      <c r="H22" s="666">
        <f>4038-2692</f>
        <v>1346</v>
      </c>
      <c r="I22" s="666">
        <f>4117.7/30*10+0.4</f>
        <v>1372.9666666666667</v>
      </c>
      <c r="J22" s="666">
        <f>1337.3-0.3</f>
        <v>1337</v>
      </c>
      <c r="K22" s="664">
        <f t="shared" si="3"/>
        <v>97.380368544999868</v>
      </c>
      <c r="L22" s="309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</row>
    <row r="23" spans="1:84" s="247" customFormat="1" ht="37.5">
      <c r="A23" s="279"/>
      <c r="B23" s="595" t="s">
        <v>262</v>
      </c>
      <c r="C23" s="527"/>
      <c r="D23" s="518"/>
      <c r="E23" s="518"/>
      <c r="F23" s="518"/>
      <c r="G23" s="519"/>
      <c r="H23" s="667">
        <f>164975.6-160470+0.4</f>
        <v>4506.0000000000055</v>
      </c>
      <c r="I23" s="667">
        <f>475.7+0.3</f>
        <v>476</v>
      </c>
      <c r="J23" s="667"/>
      <c r="K23" s="664"/>
      <c r="L23" s="309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</row>
    <row r="24" spans="1:84" s="291" customFormat="1" ht="40.5">
      <c r="A24" s="420" t="s">
        <v>95</v>
      </c>
      <c r="B24" s="602" t="s">
        <v>259</v>
      </c>
      <c r="C24" s="458"/>
      <c r="D24" s="288">
        <f>D25+D32</f>
        <v>35346</v>
      </c>
      <c r="E24" s="288">
        <f t="shared" ref="E24:F24" si="6">E25+E32</f>
        <v>36733</v>
      </c>
      <c r="F24" s="288">
        <f t="shared" si="6"/>
        <v>36974</v>
      </c>
      <c r="G24" s="289">
        <f t="shared" si="5"/>
        <v>100.65608580840117</v>
      </c>
      <c r="H24" s="668">
        <f>H25+H32</f>
        <v>150845</v>
      </c>
      <c r="I24" s="668">
        <f t="shared" ref="I24:J24" si="7">I25+I32</f>
        <v>153702</v>
      </c>
      <c r="J24" s="668">
        <f t="shared" si="7"/>
        <v>149489</v>
      </c>
      <c r="K24" s="669">
        <f t="shared" si="3"/>
        <v>97.258981665820869</v>
      </c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</row>
    <row r="25" spans="1:84" s="298" customFormat="1" ht="18.75">
      <c r="A25" s="292" t="s">
        <v>97</v>
      </c>
      <c r="B25" s="596" t="s">
        <v>34</v>
      </c>
      <c r="C25" s="459"/>
      <c r="D25" s="442">
        <f>D26</f>
        <v>35346</v>
      </c>
      <c r="E25" s="442">
        <f t="shared" ref="E25:F25" si="8">E26</f>
        <v>35346</v>
      </c>
      <c r="F25" s="442">
        <f t="shared" si="8"/>
        <v>35346</v>
      </c>
      <c r="G25" s="443">
        <f t="shared" si="5"/>
        <v>100</v>
      </c>
      <c r="H25" s="670">
        <f>H26</f>
        <v>1650</v>
      </c>
      <c r="I25" s="670">
        <f t="shared" ref="I25:J25" si="9">I26</f>
        <v>1650</v>
      </c>
      <c r="J25" s="670">
        <f t="shared" si="9"/>
        <v>1650</v>
      </c>
      <c r="K25" s="671">
        <f t="shared" si="3"/>
        <v>100</v>
      </c>
    </row>
    <row r="26" spans="1:84" s="298" customFormat="1" ht="31.5">
      <c r="A26" s="292"/>
      <c r="B26" s="444" t="s">
        <v>10</v>
      </c>
      <c r="C26" s="131"/>
      <c r="D26" s="132">
        <f>SUM(D27:D31)</f>
        <v>35346</v>
      </c>
      <c r="E26" s="132">
        <f>SUM(E27:E31)</f>
        <v>35346</v>
      </c>
      <c r="F26" s="132">
        <f>SUM(F27:F31)</f>
        <v>35346</v>
      </c>
      <c r="G26" s="445">
        <f t="shared" si="5"/>
        <v>100</v>
      </c>
      <c r="H26" s="672">
        <f t="shared" ref="H26:I26" si="10">SUM(H27:H31)</f>
        <v>1650</v>
      </c>
      <c r="I26" s="672">
        <f t="shared" si="10"/>
        <v>1650</v>
      </c>
      <c r="J26" s="672">
        <f>SUM(J27:J31)</f>
        <v>1650</v>
      </c>
      <c r="K26" s="673">
        <f t="shared" si="3"/>
        <v>100</v>
      </c>
    </row>
    <row r="27" spans="1:84" s="308" customFormat="1" ht="31.5">
      <c r="A27" s="301"/>
      <c r="B27" s="446" t="s">
        <v>11</v>
      </c>
      <c r="C27" s="528" t="s">
        <v>320</v>
      </c>
      <c r="D27" s="134">
        <v>1278</v>
      </c>
      <c r="E27" s="134">
        <v>1278</v>
      </c>
      <c r="F27" s="134">
        <v>1278</v>
      </c>
      <c r="G27" s="447">
        <f>F27/E27*100</f>
        <v>100</v>
      </c>
      <c r="H27" s="674">
        <v>129</v>
      </c>
      <c r="I27" s="674">
        <v>129</v>
      </c>
      <c r="J27" s="674">
        <v>129</v>
      </c>
      <c r="K27" s="675">
        <f>J27/I27*100</f>
        <v>100</v>
      </c>
    </row>
    <row r="28" spans="1:84" s="309" customFormat="1" ht="31.5">
      <c r="A28" s="301"/>
      <c r="B28" s="446" t="s">
        <v>13</v>
      </c>
      <c r="C28" s="528" t="s">
        <v>320</v>
      </c>
      <c r="D28" s="134">
        <v>5337</v>
      </c>
      <c r="E28" s="134">
        <v>5337</v>
      </c>
      <c r="F28" s="134">
        <v>5337</v>
      </c>
      <c r="G28" s="447">
        <f t="shared" si="5"/>
        <v>100</v>
      </c>
      <c r="H28" s="676">
        <v>334</v>
      </c>
      <c r="I28" s="676">
        <v>334</v>
      </c>
      <c r="J28" s="676">
        <v>334</v>
      </c>
      <c r="K28" s="675">
        <f t="shared" si="3"/>
        <v>100</v>
      </c>
    </row>
    <row r="29" spans="1:84" s="309" customFormat="1" ht="31.5">
      <c r="A29" s="301"/>
      <c r="B29" s="446" t="s">
        <v>15</v>
      </c>
      <c r="C29" s="528" t="s">
        <v>320</v>
      </c>
      <c r="D29" s="134">
        <v>8769</v>
      </c>
      <c r="E29" s="134">
        <v>8769</v>
      </c>
      <c r="F29" s="134">
        <v>8769</v>
      </c>
      <c r="G29" s="447">
        <f t="shared" si="5"/>
        <v>100</v>
      </c>
      <c r="H29" s="676">
        <v>337</v>
      </c>
      <c r="I29" s="676">
        <v>337</v>
      </c>
      <c r="J29" s="676">
        <v>337</v>
      </c>
      <c r="K29" s="675">
        <f t="shared" si="3"/>
        <v>100</v>
      </c>
    </row>
    <row r="30" spans="1:84" s="309" customFormat="1" ht="31.5">
      <c r="A30" s="301"/>
      <c r="B30" s="446" t="s">
        <v>17</v>
      </c>
      <c r="C30" s="528" t="s">
        <v>320</v>
      </c>
      <c r="D30" s="134">
        <v>12642</v>
      </c>
      <c r="E30" s="134">
        <v>12642</v>
      </c>
      <c r="F30" s="134">
        <v>12642</v>
      </c>
      <c r="G30" s="447">
        <f t="shared" si="5"/>
        <v>100</v>
      </c>
      <c r="H30" s="676">
        <v>506</v>
      </c>
      <c r="I30" s="676">
        <v>506</v>
      </c>
      <c r="J30" s="676">
        <v>506</v>
      </c>
      <c r="K30" s="675">
        <f t="shared" si="3"/>
        <v>100</v>
      </c>
    </row>
    <row r="31" spans="1:84" s="309" customFormat="1" ht="31.5">
      <c r="A31" s="301"/>
      <c r="B31" s="446" t="s">
        <v>23</v>
      </c>
      <c r="C31" s="528" t="s">
        <v>320</v>
      </c>
      <c r="D31" s="134">
        <v>7320</v>
      </c>
      <c r="E31" s="134">
        <v>7320</v>
      </c>
      <c r="F31" s="134">
        <v>7320</v>
      </c>
      <c r="G31" s="447">
        <f>F31/E31*100</f>
        <v>100</v>
      </c>
      <c r="H31" s="676">
        <v>344</v>
      </c>
      <c r="I31" s="676">
        <v>344</v>
      </c>
      <c r="J31" s="676">
        <v>344</v>
      </c>
      <c r="K31" s="675">
        <f>J31/I31*100</f>
        <v>100</v>
      </c>
    </row>
    <row r="32" spans="1:84" s="298" customFormat="1" ht="18.75">
      <c r="A32" s="292" t="s">
        <v>99</v>
      </c>
      <c r="B32" s="596" t="s">
        <v>39</v>
      </c>
      <c r="C32" s="441"/>
      <c r="D32" s="421">
        <f>D33+D42+D48+D49+D50+D51+D52+D53</f>
        <v>0</v>
      </c>
      <c r="E32" s="421">
        <f t="shared" ref="E32:F32" si="11">E33+E42+E48+E49+E50+E51+E52+E53</f>
        <v>1387</v>
      </c>
      <c r="F32" s="421">
        <f t="shared" si="11"/>
        <v>1628</v>
      </c>
      <c r="G32" s="443">
        <f t="shared" si="5"/>
        <v>117.37563085796683</v>
      </c>
      <c r="H32" s="677">
        <f>H33+H42+H48+H49+H50+H51+H52+H53</f>
        <v>149195</v>
      </c>
      <c r="I32" s="677">
        <f t="shared" ref="I32:J32" si="12">I33+I42+I48+I49+I50+I51+I52+I53</f>
        <v>152052</v>
      </c>
      <c r="J32" s="677">
        <f t="shared" si="12"/>
        <v>147839</v>
      </c>
      <c r="K32" s="671">
        <f t="shared" si="3"/>
        <v>97.229237366164213</v>
      </c>
    </row>
    <row r="33" spans="1:11" s="298" customFormat="1" ht="63">
      <c r="A33" s="292"/>
      <c r="B33" s="444" t="s">
        <v>42</v>
      </c>
      <c r="C33" s="528" t="s">
        <v>321</v>
      </c>
      <c r="D33" s="132">
        <f>SUM(D34:D41)</f>
        <v>0</v>
      </c>
      <c r="E33" s="132">
        <f>SUM(E34:E41)</f>
        <v>750</v>
      </c>
      <c r="F33" s="132">
        <f>SUM(F34:F41)</f>
        <v>921</v>
      </c>
      <c r="G33" s="445">
        <f t="shared" si="5"/>
        <v>122.8</v>
      </c>
      <c r="H33" s="672">
        <f>SUM(H34:H41)</f>
        <v>0</v>
      </c>
      <c r="I33" s="672">
        <f>SUM(I34:I41)</f>
        <v>104270</v>
      </c>
      <c r="J33" s="672">
        <f>SUM(J34:J41)</f>
        <v>101119</v>
      </c>
      <c r="K33" s="673">
        <f t="shared" si="3"/>
        <v>96.978037786515785</v>
      </c>
    </row>
    <row r="34" spans="1:11" s="298" customFormat="1" ht="63">
      <c r="A34" s="292"/>
      <c r="B34" s="446" t="s">
        <v>43</v>
      </c>
      <c r="C34" s="528" t="s">
        <v>321</v>
      </c>
      <c r="D34" s="450"/>
      <c r="E34" s="134">
        <f>167+42</f>
        <v>209</v>
      </c>
      <c r="F34" s="134">
        <f>219+49</f>
        <v>268</v>
      </c>
      <c r="G34" s="445">
        <f t="shared" si="5"/>
        <v>128.22966507177034</v>
      </c>
      <c r="H34" s="678"/>
      <c r="I34" s="678">
        <v>28472</v>
      </c>
      <c r="J34" s="678">
        <v>26381</v>
      </c>
      <c r="K34" s="673">
        <f t="shared" si="3"/>
        <v>92.655942680528241</v>
      </c>
    </row>
    <row r="35" spans="1:11" s="298" customFormat="1" ht="63">
      <c r="A35" s="292"/>
      <c r="B35" s="446" t="s">
        <v>45</v>
      </c>
      <c r="C35" s="528" t="s">
        <v>321</v>
      </c>
      <c r="D35" s="450"/>
      <c r="E35" s="134">
        <f>140+72</f>
        <v>212</v>
      </c>
      <c r="F35" s="134">
        <f>150+89</f>
        <v>239</v>
      </c>
      <c r="G35" s="445">
        <f t="shared" si="5"/>
        <v>112.73584905660377</v>
      </c>
      <c r="H35" s="678"/>
      <c r="I35" s="678">
        <v>27050</v>
      </c>
      <c r="J35" s="678">
        <v>25990</v>
      </c>
      <c r="K35" s="673">
        <f t="shared" si="3"/>
        <v>96.081330868761555</v>
      </c>
    </row>
    <row r="36" spans="1:11" s="298" customFormat="1" ht="63">
      <c r="A36" s="292"/>
      <c r="B36" s="446" t="s">
        <v>46</v>
      </c>
      <c r="C36" s="528" t="s">
        <v>321</v>
      </c>
      <c r="D36" s="450"/>
      <c r="E36" s="134">
        <f>32+48</f>
        <v>80</v>
      </c>
      <c r="F36" s="134">
        <f>39+61</f>
        <v>100</v>
      </c>
      <c r="G36" s="445">
        <f t="shared" si="5"/>
        <v>125</v>
      </c>
      <c r="H36" s="678"/>
      <c r="I36" s="678">
        <v>11032</v>
      </c>
      <c r="J36" s="678">
        <v>11032</v>
      </c>
      <c r="K36" s="673">
        <f t="shared" si="3"/>
        <v>100</v>
      </c>
    </row>
    <row r="37" spans="1:11" s="298" customFormat="1" ht="63">
      <c r="A37" s="292"/>
      <c r="B37" s="446" t="s">
        <v>48</v>
      </c>
      <c r="C37" s="528" t="s">
        <v>321</v>
      </c>
      <c r="D37" s="450"/>
      <c r="E37" s="134">
        <f>80+12</f>
        <v>92</v>
      </c>
      <c r="F37" s="134">
        <f>80+16</f>
        <v>96</v>
      </c>
      <c r="G37" s="445">
        <f t="shared" si="5"/>
        <v>104.34782608695652</v>
      </c>
      <c r="H37" s="678"/>
      <c r="I37" s="678">
        <v>12580</v>
      </c>
      <c r="J37" s="678">
        <v>12580</v>
      </c>
      <c r="K37" s="673">
        <f t="shared" si="3"/>
        <v>100</v>
      </c>
    </row>
    <row r="38" spans="1:11" s="298" customFormat="1" ht="63">
      <c r="A38" s="292"/>
      <c r="B38" s="446" t="s">
        <v>49</v>
      </c>
      <c r="C38" s="528" t="s">
        <v>321</v>
      </c>
      <c r="D38" s="450"/>
      <c r="E38" s="134">
        <f>20+27</f>
        <v>47</v>
      </c>
      <c r="F38" s="134">
        <f>32+27</f>
        <v>59</v>
      </c>
      <c r="G38" s="445">
        <f t="shared" si="5"/>
        <v>125.53191489361701</v>
      </c>
      <c r="H38" s="678"/>
      <c r="I38" s="678">
        <v>9237</v>
      </c>
      <c r="J38" s="678">
        <v>9237</v>
      </c>
      <c r="K38" s="673">
        <f t="shared" si="3"/>
        <v>100</v>
      </c>
    </row>
    <row r="39" spans="1:11" s="298" customFormat="1" ht="63">
      <c r="A39" s="292"/>
      <c r="B39" s="446" t="s">
        <v>50</v>
      </c>
      <c r="C39" s="528" t="s">
        <v>321</v>
      </c>
      <c r="D39" s="450"/>
      <c r="E39" s="134">
        <f>42+30</f>
        <v>72</v>
      </c>
      <c r="F39" s="134">
        <f>76+41</f>
        <v>117</v>
      </c>
      <c r="G39" s="445">
        <f t="shared" si="5"/>
        <v>162.5</v>
      </c>
      <c r="H39" s="678"/>
      <c r="I39" s="678">
        <v>11204</v>
      </c>
      <c r="J39" s="678">
        <v>11204</v>
      </c>
      <c r="K39" s="673">
        <f t="shared" si="3"/>
        <v>100</v>
      </c>
    </row>
    <row r="40" spans="1:11" s="298" customFormat="1" ht="63">
      <c r="A40" s="292"/>
      <c r="B40" s="446" t="s">
        <v>51</v>
      </c>
      <c r="C40" s="528" t="s">
        <v>321</v>
      </c>
      <c r="D40" s="450"/>
      <c r="E40" s="134">
        <v>28</v>
      </c>
      <c r="F40" s="134">
        <v>30</v>
      </c>
      <c r="G40" s="445">
        <f t="shared" si="5"/>
        <v>107.14285714285714</v>
      </c>
      <c r="H40" s="678"/>
      <c r="I40" s="678">
        <v>3024</v>
      </c>
      <c r="J40" s="678">
        <v>3024</v>
      </c>
      <c r="K40" s="673">
        <f t="shared" si="3"/>
        <v>100</v>
      </c>
    </row>
    <row r="41" spans="1:11" s="298" customFormat="1" ht="63">
      <c r="A41" s="292"/>
      <c r="B41" s="446" t="s">
        <v>190</v>
      </c>
      <c r="C41" s="528" t="s">
        <v>321</v>
      </c>
      <c r="D41" s="450"/>
      <c r="E41" s="134">
        <v>10</v>
      </c>
      <c r="F41" s="134">
        <v>12</v>
      </c>
      <c r="G41" s="445">
        <f t="shared" si="5"/>
        <v>120</v>
      </c>
      <c r="H41" s="678"/>
      <c r="I41" s="678">
        <v>1671</v>
      </c>
      <c r="J41" s="678">
        <v>1671</v>
      </c>
      <c r="K41" s="673">
        <f t="shared" si="3"/>
        <v>100</v>
      </c>
    </row>
    <row r="42" spans="1:11" s="298" customFormat="1" ht="63">
      <c r="A42" s="292"/>
      <c r="B42" s="444" t="s">
        <v>52</v>
      </c>
      <c r="C42" s="528" t="s">
        <v>321</v>
      </c>
      <c r="D42" s="132">
        <f>SUM(D43:D47)</f>
        <v>0</v>
      </c>
      <c r="E42" s="132">
        <f>SUM(E43:E47)</f>
        <v>230</v>
      </c>
      <c r="F42" s="132">
        <f>SUM(F43:F47)</f>
        <v>297</v>
      </c>
      <c r="G42" s="445">
        <f t="shared" si="5"/>
        <v>129.13043478260872</v>
      </c>
      <c r="H42" s="672">
        <f>SUM(H43:H47)</f>
        <v>0</v>
      </c>
      <c r="I42" s="672">
        <f>SUM(I43:I47)</f>
        <v>39867</v>
      </c>
      <c r="J42" s="672">
        <f>SUM(J43:J47)</f>
        <v>38805</v>
      </c>
      <c r="K42" s="673">
        <f t="shared" si="3"/>
        <v>97.336142674392363</v>
      </c>
    </row>
    <row r="43" spans="1:11" s="298" customFormat="1" ht="63">
      <c r="A43" s="292"/>
      <c r="B43" s="446" t="s">
        <v>53</v>
      </c>
      <c r="C43" s="528" t="s">
        <v>321</v>
      </c>
      <c r="D43" s="450"/>
      <c r="E43" s="134">
        <f>100+42+4</f>
        <v>146</v>
      </c>
      <c r="F43" s="134">
        <f>112+66+5</f>
        <v>183</v>
      </c>
      <c r="G43" s="445">
        <f t="shared" si="5"/>
        <v>125.34246575342465</v>
      </c>
      <c r="H43" s="678"/>
      <c r="I43" s="678">
        <v>22128</v>
      </c>
      <c r="J43" s="678">
        <v>21066</v>
      </c>
      <c r="K43" s="673">
        <f t="shared" si="3"/>
        <v>95.200650759219087</v>
      </c>
    </row>
    <row r="44" spans="1:11" s="298" customFormat="1" ht="63">
      <c r="A44" s="292"/>
      <c r="B44" s="446" t="s">
        <v>54</v>
      </c>
      <c r="C44" s="528" t="s">
        <v>321</v>
      </c>
      <c r="D44" s="450"/>
      <c r="E44" s="134">
        <f>10+14</f>
        <v>24</v>
      </c>
      <c r="F44" s="134">
        <f>11+20</f>
        <v>31</v>
      </c>
      <c r="G44" s="445">
        <f t="shared" si="5"/>
        <v>129.16666666666669</v>
      </c>
      <c r="H44" s="678"/>
      <c r="I44" s="678">
        <v>6082</v>
      </c>
      <c r="J44" s="678">
        <v>6082</v>
      </c>
      <c r="K44" s="673">
        <f t="shared" si="3"/>
        <v>100</v>
      </c>
    </row>
    <row r="45" spans="1:11" s="298" customFormat="1" ht="63">
      <c r="A45" s="292"/>
      <c r="B45" s="446" t="s">
        <v>55</v>
      </c>
      <c r="C45" s="528" t="s">
        <v>321</v>
      </c>
      <c r="D45" s="450"/>
      <c r="E45" s="134">
        <f>26+6</f>
        <v>32</v>
      </c>
      <c r="F45" s="134">
        <f>34+6</f>
        <v>40</v>
      </c>
      <c r="G45" s="445">
        <f t="shared" si="5"/>
        <v>125</v>
      </c>
      <c r="H45" s="678"/>
      <c r="I45" s="678">
        <v>5690</v>
      </c>
      <c r="J45" s="678">
        <v>5690</v>
      </c>
      <c r="K45" s="673">
        <f t="shared" si="3"/>
        <v>100</v>
      </c>
    </row>
    <row r="46" spans="1:11" s="298" customFormat="1" ht="63">
      <c r="A46" s="292"/>
      <c r="B46" s="446" t="s">
        <v>56</v>
      </c>
      <c r="C46" s="528" t="s">
        <v>321</v>
      </c>
      <c r="D46" s="450"/>
      <c r="E46" s="134">
        <v>24</v>
      </c>
      <c r="F46" s="134">
        <v>39</v>
      </c>
      <c r="G46" s="445">
        <f t="shared" si="5"/>
        <v>162.5</v>
      </c>
      <c r="H46" s="678"/>
      <c r="I46" s="678">
        <v>1989</v>
      </c>
      <c r="J46" s="678">
        <v>1989</v>
      </c>
      <c r="K46" s="673">
        <f t="shared" si="3"/>
        <v>100</v>
      </c>
    </row>
    <row r="47" spans="1:11" s="298" customFormat="1" ht="63">
      <c r="A47" s="292"/>
      <c r="B47" s="446" t="s">
        <v>199</v>
      </c>
      <c r="C47" s="528" t="s">
        <v>321</v>
      </c>
      <c r="D47" s="450"/>
      <c r="E47" s="134">
        <v>4</v>
      </c>
      <c r="F47" s="134">
        <v>4</v>
      </c>
      <c r="G47" s="445">
        <f t="shared" si="5"/>
        <v>100</v>
      </c>
      <c r="H47" s="678"/>
      <c r="I47" s="678">
        <v>3978</v>
      </c>
      <c r="J47" s="678">
        <v>3978</v>
      </c>
      <c r="K47" s="673">
        <f t="shared" si="3"/>
        <v>100</v>
      </c>
    </row>
    <row r="48" spans="1:11" s="298" customFormat="1" ht="31.5">
      <c r="A48" s="292"/>
      <c r="B48" s="2" t="s">
        <v>19</v>
      </c>
      <c r="C48" s="136" t="s">
        <v>323</v>
      </c>
      <c r="D48" s="442"/>
      <c r="E48" s="132">
        <v>54</v>
      </c>
      <c r="F48" s="132">
        <v>54</v>
      </c>
      <c r="G48" s="445">
        <f t="shared" si="5"/>
        <v>100</v>
      </c>
      <c r="H48" s="678"/>
      <c r="I48" s="678">
        <v>2374</v>
      </c>
      <c r="J48" s="678">
        <v>2374</v>
      </c>
      <c r="K48" s="673">
        <f t="shared" si="3"/>
        <v>100</v>
      </c>
    </row>
    <row r="49" spans="1:84" s="298" customFormat="1" ht="31.5">
      <c r="A49" s="292"/>
      <c r="B49" s="2" t="s">
        <v>22</v>
      </c>
      <c r="C49" s="136" t="s">
        <v>323</v>
      </c>
      <c r="D49" s="442"/>
      <c r="E49" s="132">
        <v>9</v>
      </c>
      <c r="F49" s="132">
        <v>9</v>
      </c>
      <c r="G49" s="445">
        <f t="shared" si="5"/>
        <v>100</v>
      </c>
      <c r="H49" s="678"/>
      <c r="I49" s="678">
        <v>1583</v>
      </c>
      <c r="J49" s="678">
        <v>1583</v>
      </c>
      <c r="K49" s="673">
        <f t="shared" si="3"/>
        <v>100</v>
      </c>
    </row>
    <row r="50" spans="1:84" s="298" customFormat="1" ht="63">
      <c r="A50" s="292"/>
      <c r="B50" s="2" t="s">
        <v>40</v>
      </c>
      <c r="C50" s="136" t="s">
        <v>324</v>
      </c>
      <c r="D50" s="442"/>
      <c r="E50" s="132">
        <v>231</v>
      </c>
      <c r="F50" s="132">
        <v>231</v>
      </c>
      <c r="G50" s="445">
        <f t="shared" si="5"/>
        <v>100</v>
      </c>
      <c r="H50" s="678"/>
      <c r="I50" s="678">
        <v>792</v>
      </c>
      <c r="J50" s="678">
        <v>792</v>
      </c>
      <c r="K50" s="673">
        <f t="shared" si="3"/>
        <v>100</v>
      </c>
    </row>
    <row r="51" spans="1:84" s="298" customFormat="1" ht="47.25">
      <c r="A51" s="292"/>
      <c r="B51" s="2" t="s">
        <v>37</v>
      </c>
      <c r="C51" s="136" t="s">
        <v>323</v>
      </c>
      <c r="D51" s="442"/>
      <c r="E51" s="132">
        <v>3</v>
      </c>
      <c r="F51" s="132">
        <v>6</v>
      </c>
      <c r="G51" s="445">
        <f t="shared" si="5"/>
        <v>200</v>
      </c>
      <c r="H51" s="678"/>
      <c r="I51" s="678">
        <v>1979</v>
      </c>
      <c r="J51" s="678">
        <v>1979</v>
      </c>
      <c r="K51" s="673">
        <f t="shared" si="3"/>
        <v>100</v>
      </c>
    </row>
    <row r="52" spans="1:84" s="298" customFormat="1" ht="31.5">
      <c r="A52" s="292"/>
      <c r="B52" s="2" t="s">
        <v>38</v>
      </c>
      <c r="C52" s="136" t="s">
        <v>323</v>
      </c>
      <c r="D52" s="442"/>
      <c r="E52" s="132">
        <v>110</v>
      </c>
      <c r="F52" s="132">
        <v>110</v>
      </c>
      <c r="G52" s="445">
        <f t="shared" si="5"/>
        <v>100</v>
      </c>
      <c r="H52" s="678"/>
      <c r="I52" s="678">
        <v>1187</v>
      </c>
      <c r="J52" s="678">
        <v>1187</v>
      </c>
      <c r="K52" s="673">
        <f t="shared" si="3"/>
        <v>100</v>
      </c>
    </row>
    <row r="53" spans="1:84" s="298" customFormat="1" ht="37.5">
      <c r="A53" s="248"/>
      <c r="B53" s="595" t="s">
        <v>262</v>
      </c>
      <c r="C53" s="205"/>
      <c r="D53" s="592"/>
      <c r="E53" s="516"/>
      <c r="F53" s="516"/>
      <c r="G53" s="508"/>
      <c r="H53" s="679">
        <f>149834-639</f>
        <v>149195</v>
      </c>
      <c r="I53" s="666"/>
      <c r="J53" s="666"/>
      <c r="K53" s="680"/>
    </row>
    <row r="54" spans="1:84" s="318" customFormat="1" ht="40.5">
      <c r="A54" s="138" t="s">
        <v>264</v>
      </c>
      <c r="B54" s="598" t="s">
        <v>265</v>
      </c>
      <c r="C54" s="458"/>
      <c r="D54" s="315">
        <f t="shared" ref="D54:F54" si="13">D55</f>
        <v>59160</v>
      </c>
      <c r="E54" s="316">
        <f t="shared" si="13"/>
        <v>59160</v>
      </c>
      <c r="F54" s="316">
        <f t="shared" si="13"/>
        <v>59280</v>
      </c>
      <c r="G54" s="317">
        <f>F54/E54*100</f>
        <v>100.2028397565923</v>
      </c>
      <c r="H54" s="681">
        <f>H55+H57</f>
        <v>11822</v>
      </c>
      <c r="I54" s="681">
        <f t="shared" ref="I54:J54" si="14">I55</f>
        <v>11809</v>
      </c>
      <c r="J54" s="681">
        <f t="shared" si="14"/>
        <v>11809</v>
      </c>
      <c r="K54" s="669">
        <f t="shared" ref="K54:K56" si="15">J54/I54*100</f>
        <v>100</v>
      </c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</row>
    <row r="55" spans="1:84" s="247" customFormat="1" ht="18.75">
      <c r="A55" s="248"/>
      <c r="B55" s="594" t="s">
        <v>169</v>
      </c>
      <c r="C55" s="457"/>
      <c r="D55" s="319">
        <f>D56</f>
        <v>59160</v>
      </c>
      <c r="E55" s="275">
        <f>E56</f>
        <v>59160</v>
      </c>
      <c r="F55" s="275">
        <f>F56</f>
        <v>59280</v>
      </c>
      <c r="G55" s="253">
        <f>F55/E55*100</f>
        <v>100.2028397565923</v>
      </c>
      <c r="H55" s="472">
        <f>H56</f>
        <v>11561</v>
      </c>
      <c r="I55" s="472">
        <f>I56</f>
        <v>11809</v>
      </c>
      <c r="J55" s="472">
        <f>J56</f>
        <v>11809</v>
      </c>
      <c r="K55" s="682">
        <f t="shared" si="15"/>
        <v>100</v>
      </c>
      <c r="L55" s="309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</row>
    <row r="56" spans="1:84" s="247" customFormat="1" ht="18.75">
      <c r="A56" s="321"/>
      <c r="B56" s="322" t="s">
        <v>170</v>
      </c>
      <c r="C56" s="525" t="s">
        <v>266</v>
      </c>
      <c r="D56" s="324">
        <v>59160</v>
      </c>
      <c r="E56" s="325">
        <v>59160</v>
      </c>
      <c r="F56" s="325">
        <v>59280</v>
      </c>
      <c r="G56" s="326">
        <f>F56/E56*100</f>
        <v>100.2028397565923</v>
      </c>
      <c r="H56" s="472">
        <v>11561</v>
      </c>
      <c r="I56" s="472">
        <v>11809</v>
      </c>
      <c r="J56" s="472">
        <v>11809</v>
      </c>
      <c r="K56" s="473">
        <f t="shared" si="15"/>
        <v>100</v>
      </c>
      <c r="L56" s="309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</row>
    <row r="57" spans="1:84" s="247" customFormat="1" ht="37.5">
      <c r="A57" s="321"/>
      <c r="B57" s="595" t="s">
        <v>262</v>
      </c>
      <c r="C57" s="525"/>
      <c r="D57" s="324"/>
      <c r="E57" s="325"/>
      <c r="F57" s="325"/>
      <c r="G57" s="326"/>
      <c r="H57" s="472">
        <f>11822-11561</f>
        <v>261</v>
      </c>
      <c r="I57" s="472"/>
      <c r="J57" s="472"/>
      <c r="K57" s="473"/>
      <c r="L57" s="309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7"/>
    </row>
    <row r="58" spans="1:84" s="336" customFormat="1" ht="40.5">
      <c r="A58" s="138" t="s">
        <v>267</v>
      </c>
      <c r="B58" s="603" t="s">
        <v>272</v>
      </c>
      <c r="C58" s="314"/>
      <c r="D58" s="290">
        <f>D59+D103+D112+D118+D125+D126</f>
        <v>21829</v>
      </c>
      <c r="E58" s="290">
        <f t="shared" ref="E58:F58" si="16">E59+E103+E112+E118+E125+E126</f>
        <v>23798</v>
      </c>
      <c r="F58" s="290">
        <f t="shared" si="16"/>
        <v>23784</v>
      </c>
      <c r="G58" s="334">
        <f>F58/E58*100</f>
        <v>99.94117152701908</v>
      </c>
      <c r="H58" s="681">
        <f>H59+H103+H112+H118+H125+H126</f>
        <v>1571618</v>
      </c>
      <c r="I58" s="681">
        <f>I59+I103+I112+I118+I125+I126</f>
        <v>1563484</v>
      </c>
      <c r="J58" s="681">
        <f t="shared" ref="J58" si="17">J59+J103+J112+J118+J125+J126</f>
        <v>1543130</v>
      </c>
      <c r="K58" s="683">
        <f t="shared" ref="K58:K105" si="18">J58/I58*100</f>
        <v>98.698163844337401</v>
      </c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</row>
    <row r="59" spans="1:84" s="247" customFormat="1" ht="18.75">
      <c r="A59" s="337"/>
      <c r="B59" s="578" t="s">
        <v>273</v>
      </c>
      <c r="C59" s="339"/>
      <c r="D59" s="259">
        <f>D60+D71+D65+D78+D99+D101</f>
        <v>15317</v>
      </c>
      <c r="E59" s="259">
        <f>E60+E71+E65+E78+E99+E101</f>
        <v>16921</v>
      </c>
      <c r="F59" s="259">
        <f>F60+F71+F65+F78+F99+F101</f>
        <v>16921</v>
      </c>
      <c r="G59" s="259">
        <f>G60+G67+G77+G84+G101+G103+G83</f>
        <v>999.72624168947982</v>
      </c>
      <c r="H59" s="684">
        <f>H60+H65+H71+H78+H99+H101</f>
        <v>813016</v>
      </c>
      <c r="I59" s="684">
        <f>I60+I65+I71+I79+I83+I87+I91+I95+I101+I99</f>
        <v>774126</v>
      </c>
      <c r="J59" s="684">
        <f>J60+J65+J71+J79+J83+J87+J91+J95+J101+J99</f>
        <v>774126</v>
      </c>
      <c r="K59" s="430">
        <f t="shared" si="18"/>
        <v>100</v>
      </c>
      <c r="L59" s="624"/>
      <c r="M59" s="413"/>
      <c r="N59" s="413"/>
      <c r="O59" s="413"/>
      <c r="P59" s="413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</row>
    <row r="60" spans="1:84" s="352" customFormat="1" ht="18.75">
      <c r="A60" s="342"/>
      <c r="B60" s="204" t="s">
        <v>125</v>
      </c>
      <c r="C60" s="222" t="s">
        <v>61</v>
      </c>
      <c r="D60" s="344">
        <f>SUM(D61:D64)</f>
        <v>2270</v>
      </c>
      <c r="E60" s="344">
        <f t="shared" ref="E60:F60" si="19">SUM(E61:E64)</f>
        <v>2263</v>
      </c>
      <c r="F60" s="344">
        <f t="shared" si="19"/>
        <v>2263</v>
      </c>
      <c r="G60" s="257">
        <f>F60/E60*100</f>
        <v>100</v>
      </c>
      <c r="H60" s="685">
        <f>SUM(H61:H64)</f>
        <v>257282</v>
      </c>
      <c r="I60" s="685">
        <f t="shared" ref="I60:J60" si="20">SUM(I61:I64)</f>
        <v>256120</v>
      </c>
      <c r="J60" s="685">
        <f t="shared" si="20"/>
        <v>256120</v>
      </c>
      <c r="K60" s="686">
        <f>J60/I60*100</f>
        <v>100</v>
      </c>
      <c r="L60" s="298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</row>
    <row r="61" spans="1:84" s="352" customFormat="1" ht="32.25">
      <c r="A61" s="348"/>
      <c r="B61" s="6" t="s">
        <v>334</v>
      </c>
      <c r="C61" s="136" t="s">
        <v>61</v>
      </c>
      <c r="D61" s="195">
        <v>94</v>
      </c>
      <c r="E61" s="575">
        <v>110</v>
      </c>
      <c r="F61" s="575">
        <v>110</v>
      </c>
      <c r="G61" s="264">
        <f t="shared" ref="G61:G106" si="21">F61/E61*100</f>
        <v>100</v>
      </c>
      <c r="H61" s="687">
        <v>13917</v>
      </c>
      <c r="I61" s="687">
        <v>16256</v>
      </c>
      <c r="J61" s="687">
        <v>16256</v>
      </c>
      <c r="K61" s="503">
        <f t="shared" si="18"/>
        <v>100</v>
      </c>
      <c r="L61" s="645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</row>
    <row r="62" spans="1:84" s="247" customFormat="1" ht="32.25">
      <c r="A62" s="348"/>
      <c r="B62" s="6" t="s">
        <v>335</v>
      </c>
      <c r="C62" s="136" t="s">
        <v>61</v>
      </c>
      <c r="D62" s="195">
        <v>2</v>
      </c>
      <c r="E62" s="575">
        <v>3</v>
      </c>
      <c r="F62" s="575">
        <v>3</v>
      </c>
      <c r="G62" s="264">
        <f t="shared" si="21"/>
        <v>100</v>
      </c>
      <c r="H62" s="687">
        <v>1578</v>
      </c>
      <c r="I62" s="687">
        <v>2328</v>
      </c>
      <c r="J62" s="687">
        <v>2328</v>
      </c>
      <c r="K62" s="503">
        <f t="shared" si="18"/>
        <v>100</v>
      </c>
      <c r="L62" s="309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</row>
    <row r="63" spans="1:84" s="247" customFormat="1" ht="18.75">
      <c r="A63" s="348"/>
      <c r="B63" s="6" t="s">
        <v>128</v>
      </c>
      <c r="C63" s="136" t="s">
        <v>61</v>
      </c>
      <c r="D63" s="195">
        <v>2171</v>
      </c>
      <c r="E63" s="575">
        <v>2147</v>
      </c>
      <c r="F63" s="575">
        <v>2147</v>
      </c>
      <c r="G63" s="264">
        <f t="shared" si="21"/>
        <v>100</v>
      </c>
      <c r="H63" s="688">
        <v>239420</v>
      </c>
      <c r="I63" s="687">
        <f>235209-1</f>
        <v>235208</v>
      </c>
      <c r="J63" s="687">
        <f>235209-1</f>
        <v>235208</v>
      </c>
      <c r="K63" s="503">
        <f t="shared" si="18"/>
        <v>100</v>
      </c>
      <c r="L63" s="309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</row>
    <row r="64" spans="1:84" s="352" customFormat="1" ht="18.75">
      <c r="A64" s="348"/>
      <c r="B64" s="6" t="s">
        <v>129</v>
      </c>
      <c r="C64" s="136" t="s">
        <v>61</v>
      </c>
      <c r="D64" s="195">
        <v>3</v>
      </c>
      <c r="E64" s="575">
        <v>3</v>
      </c>
      <c r="F64" s="575">
        <v>3</v>
      </c>
      <c r="G64" s="264">
        <f t="shared" si="21"/>
        <v>100</v>
      </c>
      <c r="H64" s="688">
        <v>2367</v>
      </c>
      <c r="I64" s="687">
        <v>2328</v>
      </c>
      <c r="J64" s="687">
        <v>2328</v>
      </c>
      <c r="K64" s="503">
        <f t="shared" si="18"/>
        <v>100</v>
      </c>
      <c r="L64" s="298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</row>
    <row r="65" spans="1:84" s="247" customFormat="1" ht="18.75">
      <c r="A65" s="348"/>
      <c r="B65" s="204" t="s">
        <v>130</v>
      </c>
      <c r="C65" s="212" t="s">
        <v>61</v>
      </c>
      <c r="D65" s="576">
        <f>SUM(D66:D70)</f>
        <v>2594</v>
      </c>
      <c r="E65" s="576">
        <f t="shared" ref="E65:F65" si="22">SUM(E66:E70)</f>
        <v>2571</v>
      </c>
      <c r="F65" s="576">
        <f t="shared" si="22"/>
        <v>2571</v>
      </c>
      <c r="G65" s="361">
        <f t="shared" si="21"/>
        <v>100</v>
      </c>
      <c r="H65" s="689">
        <f>SUM(H66:H70)</f>
        <v>334201</v>
      </c>
      <c r="I65" s="689">
        <f t="shared" ref="I65:J65" si="23">SUM(I66:I70)</f>
        <v>329529</v>
      </c>
      <c r="J65" s="689">
        <f t="shared" si="23"/>
        <v>329529</v>
      </c>
      <c r="K65" s="690">
        <f t="shared" si="18"/>
        <v>100</v>
      </c>
      <c r="L65" s="309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</row>
    <row r="66" spans="1:84" s="247" customFormat="1" ht="32.25">
      <c r="A66" s="348"/>
      <c r="B66" s="6" t="s">
        <v>336</v>
      </c>
      <c r="C66" s="136" t="s">
        <v>61</v>
      </c>
      <c r="D66" s="195">
        <v>115</v>
      </c>
      <c r="E66" s="575">
        <v>133</v>
      </c>
      <c r="F66" s="575">
        <v>133</v>
      </c>
      <c r="G66" s="264">
        <f t="shared" si="21"/>
        <v>100</v>
      </c>
      <c r="H66" s="687">
        <v>16104</v>
      </c>
      <c r="I66" s="687">
        <v>19702</v>
      </c>
      <c r="J66" s="687">
        <v>19702</v>
      </c>
      <c r="K66" s="503">
        <f t="shared" si="18"/>
        <v>100</v>
      </c>
      <c r="L66" s="309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</row>
    <row r="67" spans="1:84" s="247" customFormat="1" ht="32.25">
      <c r="A67" s="342"/>
      <c r="B67" s="6" t="s">
        <v>337</v>
      </c>
      <c r="C67" s="136" t="s">
        <v>61</v>
      </c>
      <c r="D67" s="575">
        <v>1</v>
      </c>
      <c r="E67" s="575">
        <v>1</v>
      </c>
      <c r="F67" s="575">
        <v>1</v>
      </c>
      <c r="G67" s="257">
        <f>F67/E67*100</f>
        <v>100</v>
      </c>
      <c r="H67" s="691">
        <v>789</v>
      </c>
      <c r="I67" s="691">
        <f>776-1</f>
        <v>775</v>
      </c>
      <c r="J67" s="691">
        <f>776-1</f>
        <v>775</v>
      </c>
      <c r="K67" s="503">
        <f t="shared" si="18"/>
        <v>100</v>
      </c>
      <c r="L67" s="412"/>
      <c r="M67" s="413"/>
      <c r="N67" s="413"/>
      <c r="O67" s="413"/>
      <c r="P67" s="413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</row>
    <row r="68" spans="1:84" s="247" customFormat="1" ht="32.25">
      <c r="A68" s="348"/>
      <c r="B68" s="6" t="s">
        <v>338</v>
      </c>
      <c r="C68" s="136" t="s">
        <v>61</v>
      </c>
      <c r="D68" s="195">
        <v>478</v>
      </c>
      <c r="E68" s="575">
        <v>430</v>
      </c>
      <c r="F68" s="575">
        <v>430</v>
      </c>
      <c r="G68" s="264">
        <f t="shared" si="21"/>
        <v>100</v>
      </c>
      <c r="H68" s="687">
        <v>63910</v>
      </c>
      <c r="I68" s="687">
        <v>57978</v>
      </c>
      <c r="J68" s="687">
        <v>57978</v>
      </c>
      <c r="K68" s="503">
        <f t="shared" si="18"/>
        <v>100</v>
      </c>
      <c r="L68" s="412"/>
      <c r="M68" s="413"/>
      <c r="N68" s="413"/>
      <c r="O68" s="413"/>
      <c r="P68" s="413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</row>
    <row r="69" spans="1:84" s="247" customFormat="1" ht="18.75">
      <c r="A69" s="348"/>
      <c r="B69" s="6" t="s">
        <v>134</v>
      </c>
      <c r="C69" s="136" t="s">
        <v>61</v>
      </c>
      <c r="D69" s="195">
        <v>1996</v>
      </c>
      <c r="E69" s="575">
        <v>2003</v>
      </c>
      <c r="F69" s="575">
        <v>2003</v>
      </c>
      <c r="G69" s="264">
        <f t="shared" si="21"/>
        <v>100</v>
      </c>
      <c r="H69" s="687">
        <f>250241+1</f>
        <v>250242</v>
      </c>
      <c r="I69" s="687">
        <f>247970-1</f>
        <v>247969</v>
      </c>
      <c r="J69" s="687">
        <f>247970-1</f>
        <v>247969</v>
      </c>
      <c r="K69" s="503">
        <f>J69/I69*100</f>
        <v>100</v>
      </c>
      <c r="L69" s="309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</row>
    <row r="70" spans="1:84" s="352" customFormat="1" ht="18.75">
      <c r="A70" s="348"/>
      <c r="B70" s="6" t="s">
        <v>192</v>
      </c>
      <c r="C70" s="136" t="s">
        <v>61</v>
      </c>
      <c r="D70" s="195">
        <v>4</v>
      </c>
      <c r="E70" s="575">
        <v>4</v>
      </c>
      <c r="F70" s="575">
        <v>4</v>
      </c>
      <c r="G70" s="264">
        <f t="shared" si="21"/>
        <v>100</v>
      </c>
      <c r="H70" s="687">
        <v>3156</v>
      </c>
      <c r="I70" s="687">
        <v>3105</v>
      </c>
      <c r="J70" s="687">
        <v>3105</v>
      </c>
      <c r="K70" s="503">
        <f t="shared" si="18"/>
        <v>100</v>
      </c>
      <c r="L70" s="298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</row>
    <row r="71" spans="1:84" s="352" customFormat="1" ht="18.75">
      <c r="A71" s="356"/>
      <c r="B71" s="204" t="s">
        <v>136</v>
      </c>
      <c r="C71" s="205" t="s">
        <v>61</v>
      </c>
      <c r="D71" s="576">
        <f>SUM(D72:D77)</f>
        <v>496</v>
      </c>
      <c r="E71" s="576">
        <f t="shared" ref="E71:F71" si="24">SUM(E72:E77)</f>
        <v>494</v>
      </c>
      <c r="F71" s="576">
        <f t="shared" si="24"/>
        <v>494</v>
      </c>
      <c r="G71" s="361">
        <f t="shared" si="21"/>
        <v>100</v>
      </c>
      <c r="H71" s="689">
        <f>SUM(H72:H77)</f>
        <v>71706</v>
      </c>
      <c r="I71" s="689">
        <f t="shared" ref="I71:J71" si="25">SUM(I72:I77)</f>
        <v>72918</v>
      </c>
      <c r="J71" s="689">
        <f t="shared" si="25"/>
        <v>72918</v>
      </c>
      <c r="K71" s="690">
        <f t="shared" si="18"/>
        <v>100</v>
      </c>
      <c r="L71" s="298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1"/>
      <c r="CC71" s="411"/>
      <c r="CD71" s="411"/>
      <c r="CE71" s="411"/>
      <c r="CF71" s="411"/>
    </row>
    <row r="72" spans="1:84" s="247" customFormat="1" ht="32.25">
      <c r="A72" s="348"/>
      <c r="B72" s="6" t="s">
        <v>339</v>
      </c>
      <c r="C72" s="136" t="s">
        <v>61</v>
      </c>
      <c r="D72" s="195">
        <v>2</v>
      </c>
      <c r="E72" s="575">
        <v>1</v>
      </c>
      <c r="F72" s="575">
        <v>1</v>
      </c>
      <c r="G72" s="264"/>
      <c r="H72" s="688">
        <v>265</v>
      </c>
      <c r="I72" s="687">
        <v>305</v>
      </c>
      <c r="J72" s="687">
        <v>305</v>
      </c>
      <c r="K72" s="503">
        <f t="shared" si="18"/>
        <v>100</v>
      </c>
      <c r="L72" s="309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</row>
    <row r="73" spans="1:84" s="352" customFormat="1" ht="32.25">
      <c r="A73" s="348"/>
      <c r="B73" s="6" t="s">
        <v>340</v>
      </c>
      <c r="C73" s="136" t="s">
        <v>61</v>
      </c>
      <c r="D73" s="195">
        <v>1</v>
      </c>
      <c r="E73" s="575">
        <v>1</v>
      </c>
      <c r="F73" s="575">
        <v>1</v>
      </c>
      <c r="G73" s="264">
        <f t="shared" si="21"/>
        <v>100</v>
      </c>
      <c r="H73" s="688">
        <v>789</v>
      </c>
      <c r="I73" s="687">
        <v>777</v>
      </c>
      <c r="J73" s="687">
        <v>777</v>
      </c>
      <c r="K73" s="503">
        <f t="shared" si="18"/>
        <v>100</v>
      </c>
      <c r="L73" s="298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/>
      <c r="BX73" s="411"/>
      <c r="BY73" s="411"/>
      <c r="BZ73" s="411"/>
      <c r="CA73" s="411"/>
      <c r="CB73" s="411"/>
      <c r="CC73" s="411"/>
      <c r="CD73" s="411"/>
      <c r="CE73" s="411"/>
      <c r="CF73" s="411"/>
    </row>
    <row r="74" spans="1:84" s="247" customFormat="1" ht="32.25">
      <c r="A74" s="348"/>
      <c r="B74" s="6" t="s">
        <v>341</v>
      </c>
      <c r="C74" s="136" t="s">
        <v>61</v>
      </c>
      <c r="D74" s="195">
        <v>416</v>
      </c>
      <c r="E74" s="575">
        <v>396</v>
      </c>
      <c r="F74" s="575">
        <v>396</v>
      </c>
      <c r="G74" s="264">
        <f t="shared" si="21"/>
        <v>100</v>
      </c>
      <c r="H74" s="688">
        <v>59224</v>
      </c>
      <c r="I74" s="687">
        <f>57777-1</f>
        <v>57776</v>
      </c>
      <c r="J74" s="687">
        <f>57777-1</f>
        <v>57776</v>
      </c>
      <c r="K74" s="503">
        <f t="shared" si="18"/>
        <v>100</v>
      </c>
      <c r="L74" s="309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</row>
    <row r="75" spans="1:84" s="247" customFormat="1" ht="48">
      <c r="A75" s="348"/>
      <c r="B75" s="6" t="s">
        <v>342</v>
      </c>
      <c r="C75" s="136" t="s">
        <v>61</v>
      </c>
      <c r="D75" s="195">
        <v>1</v>
      </c>
      <c r="E75" s="575">
        <f>'[1]Свод за 2021 год'!E329</f>
        <v>1</v>
      </c>
      <c r="F75" s="575">
        <f>'[1]Свод за 2021 год'!F329</f>
        <v>1</v>
      </c>
      <c r="G75" s="264"/>
      <c r="H75" s="688">
        <v>789</v>
      </c>
      <c r="I75" s="687">
        <v>777</v>
      </c>
      <c r="J75" s="687">
        <v>777</v>
      </c>
      <c r="K75" s="503">
        <f t="shared" si="18"/>
        <v>100</v>
      </c>
      <c r="L75" s="309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</row>
    <row r="76" spans="1:84" s="247" customFormat="1" ht="18.75">
      <c r="A76" s="348"/>
      <c r="B76" s="6" t="s">
        <v>141</v>
      </c>
      <c r="C76" s="136" t="s">
        <v>61</v>
      </c>
      <c r="D76" s="195">
        <v>75</v>
      </c>
      <c r="E76" s="575">
        <v>94</v>
      </c>
      <c r="F76" s="575">
        <v>94</v>
      </c>
      <c r="G76" s="264">
        <f t="shared" si="21"/>
        <v>100</v>
      </c>
      <c r="H76" s="688">
        <v>10608</v>
      </c>
      <c r="I76" s="688">
        <v>13248</v>
      </c>
      <c r="J76" s="688">
        <v>13248</v>
      </c>
      <c r="K76" s="503">
        <f t="shared" si="18"/>
        <v>100</v>
      </c>
      <c r="L76" s="412"/>
      <c r="M76" s="413"/>
      <c r="N76" s="413"/>
      <c r="O76" s="413"/>
      <c r="P76" s="413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</row>
    <row r="77" spans="1:84" s="247" customFormat="1" ht="48">
      <c r="A77" s="342"/>
      <c r="B77" s="6" t="s">
        <v>86</v>
      </c>
      <c r="C77" s="136" t="s">
        <v>333</v>
      </c>
      <c r="D77" s="344">
        <v>1</v>
      </c>
      <c r="E77" s="575">
        <v>1</v>
      </c>
      <c r="F77" s="575">
        <v>1</v>
      </c>
      <c r="G77" s="575">
        <f t="shared" ref="G77" si="26">G78+G79+G80+G81+G82</f>
        <v>400</v>
      </c>
      <c r="H77" s="692">
        <v>31</v>
      </c>
      <c r="I77" s="692">
        <v>35</v>
      </c>
      <c r="J77" s="692">
        <v>35</v>
      </c>
      <c r="K77" s="503">
        <f t="shared" si="18"/>
        <v>100</v>
      </c>
      <c r="L77" s="412"/>
      <c r="M77" s="413"/>
      <c r="N77" s="413"/>
      <c r="O77" s="413"/>
      <c r="P77" s="413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</row>
    <row r="78" spans="1:84" s="352" customFormat="1" ht="18.75">
      <c r="A78" s="356"/>
      <c r="B78" s="204" t="s">
        <v>64</v>
      </c>
      <c r="C78" s="205" t="s">
        <v>61</v>
      </c>
      <c r="D78" s="576">
        <f>D79+D83+D87+D91+D95</f>
        <v>4674</v>
      </c>
      <c r="E78" s="576">
        <f>E79+E83+E87+E91+E95</f>
        <v>4585</v>
      </c>
      <c r="F78" s="576">
        <f>F79+F83+F87+F91+F95</f>
        <v>4585</v>
      </c>
      <c r="G78" s="361">
        <f t="shared" si="21"/>
        <v>100</v>
      </c>
      <c r="H78" s="689">
        <f>H79+H83+H87+H91+H95</f>
        <v>140546</v>
      </c>
      <c r="I78" s="689">
        <f t="shared" ref="I78:J78" si="27">I79+I83+I87+I91+I95</f>
        <v>101736</v>
      </c>
      <c r="J78" s="689">
        <f t="shared" si="27"/>
        <v>101736</v>
      </c>
      <c r="K78" s="690">
        <f t="shared" si="18"/>
        <v>100</v>
      </c>
      <c r="L78" s="298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</row>
    <row r="79" spans="1:84" s="352" customFormat="1" ht="18.75">
      <c r="A79" s="348"/>
      <c r="B79" s="6" t="s">
        <v>66</v>
      </c>
      <c r="C79" s="136" t="s">
        <v>61</v>
      </c>
      <c r="D79" s="195">
        <f>SUM(D80:D82)</f>
        <v>1688</v>
      </c>
      <c r="E79" s="195">
        <f t="shared" ref="E79:F79" si="28">SUM(E80:E82)</f>
        <v>1734</v>
      </c>
      <c r="F79" s="195">
        <f t="shared" si="28"/>
        <v>1734</v>
      </c>
      <c r="G79" s="264">
        <f t="shared" si="21"/>
        <v>100</v>
      </c>
      <c r="H79" s="693">
        <f>SUM(H80:H82)</f>
        <v>85800</v>
      </c>
      <c r="I79" s="693">
        <f t="shared" ref="I79:J79" si="29">SUM(I80:I82)</f>
        <v>67247</v>
      </c>
      <c r="J79" s="693">
        <f t="shared" si="29"/>
        <v>67247</v>
      </c>
      <c r="K79" s="503">
        <f t="shared" si="18"/>
        <v>100</v>
      </c>
      <c r="L79" s="298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11"/>
    </row>
    <row r="80" spans="1:84" s="247" customFormat="1" ht="18.75">
      <c r="A80" s="348"/>
      <c r="B80" s="37" t="s">
        <v>67</v>
      </c>
      <c r="C80" s="136" t="s">
        <v>61</v>
      </c>
      <c r="D80" s="195">
        <v>749</v>
      </c>
      <c r="E80" s="575">
        <v>781</v>
      </c>
      <c r="F80" s="575">
        <v>781</v>
      </c>
      <c r="G80" s="264">
        <f t="shared" si="21"/>
        <v>100</v>
      </c>
      <c r="H80" s="687">
        <v>38071</v>
      </c>
      <c r="I80" s="687">
        <v>30332</v>
      </c>
      <c r="J80" s="687">
        <v>30332</v>
      </c>
      <c r="K80" s="503">
        <f t="shared" si="18"/>
        <v>100</v>
      </c>
      <c r="L80" s="309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</row>
    <row r="81" spans="1:84" s="247" customFormat="1" ht="18.75">
      <c r="A81" s="348"/>
      <c r="B81" s="37" t="s">
        <v>68</v>
      </c>
      <c r="C81" s="136" t="s">
        <v>61</v>
      </c>
      <c r="D81" s="195">
        <v>817</v>
      </c>
      <c r="E81" s="575">
        <v>837</v>
      </c>
      <c r="F81" s="575">
        <v>837</v>
      </c>
      <c r="G81" s="264">
        <v>0</v>
      </c>
      <c r="H81" s="688">
        <v>41528</v>
      </c>
      <c r="I81" s="688">
        <v>32428</v>
      </c>
      <c r="J81" s="688">
        <v>32428</v>
      </c>
      <c r="K81" s="503">
        <f t="shared" si="18"/>
        <v>100</v>
      </c>
      <c r="L81" s="309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</row>
    <row r="82" spans="1:84" s="352" customFormat="1" ht="18.75">
      <c r="A82" s="348"/>
      <c r="B82" s="37" t="s">
        <v>69</v>
      </c>
      <c r="C82" s="136" t="s">
        <v>61</v>
      </c>
      <c r="D82" s="195">
        <v>122</v>
      </c>
      <c r="E82" s="575">
        <v>116</v>
      </c>
      <c r="F82" s="575">
        <v>116</v>
      </c>
      <c r="G82" s="264">
        <f t="shared" si="21"/>
        <v>100</v>
      </c>
      <c r="H82" s="688">
        <v>6201</v>
      </c>
      <c r="I82" s="688">
        <v>4487</v>
      </c>
      <c r="J82" s="688">
        <v>4487</v>
      </c>
      <c r="K82" s="503">
        <f t="shared" si="18"/>
        <v>100</v>
      </c>
      <c r="L82" s="298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411"/>
      <c r="BW82" s="411"/>
      <c r="BX82" s="411"/>
      <c r="BY82" s="411"/>
      <c r="BZ82" s="411"/>
      <c r="CA82" s="411"/>
      <c r="CB82" s="411"/>
      <c r="CC82" s="411"/>
      <c r="CD82" s="411"/>
      <c r="CE82" s="411"/>
      <c r="CF82" s="411"/>
    </row>
    <row r="83" spans="1:84" s="247" customFormat="1" ht="32.25">
      <c r="A83" s="348"/>
      <c r="B83" s="6" t="s">
        <v>71</v>
      </c>
      <c r="C83" s="136" t="s">
        <v>61</v>
      </c>
      <c r="D83" s="195">
        <f>SUM(D84:D86)</f>
        <v>5</v>
      </c>
      <c r="E83" s="195">
        <f t="shared" ref="E83:F83" si="30">SUM(E84:E86)</f>
        <v>6</v>
      </c>
      <c r="F83" s="195">
        <f t="shared" si="30"/>
        <v>6</v>
      </c>
      <c r="G83" s="264">
        <f t="shared" si="21"/>
        <v>100</v>
      </c>
      <c r="H83" s="693">
        <f>SUM(H84:H86)</f>
        <v>135</v>
      </c>
      <c r="I83" s="693">
        <f t="shared" ref="I83:J83" si="31">SUM(I84:I86)</f>
        <v>162</v>
      </c>
      <c r="J83" s="693">
        <f t="shared" si="31"/>
        <v>162</v>
      </c>
      <c r="K83" s="503">
        <f t="shared" si="18"/>
        <v>100</v>
      </c>
      <c r="L83" s="309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</row>
    <row r="84" spans="1:84" s="247" customFormat="1" ht="18.75">
      <c r="A84" s="356"/>
      <c r="B84" s="37" t="s">
        <v>67</v>
      </c>
      <c r="C84" s="136" t="s">
        <v>61</v>
      </c>
      <c r="D84" s="575">
        <v>3</v>
      </c>
      <c r="E84" s="575">
        <v>4</v>
      </c>
      <c r="F84" s="575">
        <v>4</v>
      </c>
      <c r="G84" s="264">
        <f t="shared" si="21"/>
        <v>100</v>
      </c>
      <c r="H84" s="693">
        <v>81</v>
      </c>
      <c r="I84" s="693">
        <v>108</v>
      </c>
      <c r="J84" s="693">
        <v>108</v>
      </c>
      <c r="K84" s="503">
        <f t="shared" si="18"/>
        <v>100</v>
      </c>
      <c r="L84" s="309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</row>
    <row r="85" spans="1:84" s="247" customFormat="1" ht="18.75">
      <c r="A85" s="348"/>
      <c r="B85" s="37" t="s">
        <v>68</v>
      </c>
      <c r="C85" s="136" t="s">
        <v>61</v>
      </c>
      <c r="D85" s="195">
        <v>1</v>
      </c>
      <c r="E85" s="575">
        <v>1</v>
      </c>
      <c r="F85" s="575">
        <v>1</v>
      </c>
      <c r="G85" s="264">
        <f t="shared" si="21"/>
        <v>100</v>
      </c>
      <c r="H85" s="687">
        <v>27</v>
      </c>
      <c r="I85" s="687">
        <v>27</v>
      </c>
      <c r="J85" s="687">
        <v>27</v>
      </c>
      <c r="K85" s="503">
        <f t="shared" si="18"/>
        <v>100</v>
      </c>
      <c r="L85" s="412"/>
      <c r="M85" s="413"/>
      <c r="N85" s="413"/>
      <c r="O85" s="413"/>
      <c r="P85" s="413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</row>
    <row r="86" spans="1:84" s="247" customFormat="1" ht="18.75">
      <c r="A86" s="348"/>
      <c r="B86" s="37" t="s">
        <v>69</v>
      </c>
      <c r="C86" s="136" t="s">
        <v>61</v>
      </c>
      <c r="D86" s="195">
        <v>1</v>
      </c>
      <c r="E86" s="575">
        <v>1</v>
      </c>
      <c r="F86" s="575">
        <v>1</v>
      </c>
      <c r="G86" s="264">
        <f t="shared" si="21"/>
        <v>100</v>
      </c>
      <c r="H86" s="687">
        <v>27</v>
      </c>
      <c r="I86" s="687">
        <v>27</v>
      </c>
      <c r="J86" s="687">
        <v>27</v>
      </c>
      <c r="K86" s="503">
        <f t="shared" si="18"/>
        <v>100</v>
      </c>
      <c r="L86" s="412"/>
      <c r="M86" s="413"/>
      <c r="N86" s="413"/>
      <c r="O86" s="413"/>
      <c r="P86" s="413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</row>
    <row r="87" spans="1:84" s="247" customFormat="1" ht="48">
      <c r="A87" s="348"/>
      <c r="B87" s="6" t="s">
        <v>73</v>
      </c>
      <c r="C87" s="136" t="s">
        <v>61</v>
      </c>
      <c r="D87" s="195">
        <f>SUM(D88:D90)</f>
        <v>1391</v>
      </c>
      <c r="E87" s="195">
        <f t="shared" ref="E87:F87" si="32">SUM(E88:E90)</f>
        <v>1308</v>
      </c>
      <c r="F87" s="195">
        <f t="shared" si="32"/>
        <v>1308</v>
      </c>
      <c r="G87" s="264">
        <f t="shared" si="21"/>
        <v>100</v>
      </c>
      <c r="H87" s="687">
        <f>SUM(H88:H90)</f>
        <v>19976</v>
      </c>
      <c r="I87" s="687">
        <f t="shared" ref="I87:J87" si="33">SUM(I88:I90)</f>
        <v>11705</v>
      </c>
      <c r="J87" s="687">
        <f t="shared" si="33"/>
        <v>11705</v>
      </c>
      <c r="K87" s="503">
        <f t="shared" si="18"/>
        <v>100</v>
      </c>
      <c r="L87" s="309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</row>
    <row r="88" spans="1:84" s="352" customFormat="1" ht="18.75">
      <c r="A88" s="348"/>
      <c r="B88" s="37" t="s">
        <v>67</v>
      </c>
      <c r="C88" s="136" t="s">
        <v>61</v>
      </c>
      <c r="D88" s="195">
        <v>0</v>
      </c>
      <c r="E88" s="575">
        <v>0</v>
      </c>
      <c r="F88" s="575">
        <v>0</v>
      </c>
      <c r="G88" s="264" t="e">
        <f t="shared" si="21"/>
        <v>#DIV/0!</v>
      </c>
      <c r="H88" s="687"/>
      <c r="I88" s="687"/>
      <c r="J88" s="687"/>
      <c r="K88" s="503" t="e">
        <f t="shared" si="18"/>
        <v>#DIV/0!</v>
      </c>
      <c r="L88" s="298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</row>
    <row r="89" spans="1:84" s="247" customFormat="1" ht="18.75">
      <c r="A89" s="348"/>
      <c r="B89" s="37" t="s">
        <v>68</v>
      </c>
      <c r="C89" s="136" t="s">
        <v>61</v>
      </c>
      <c r="D89" s="195">
        <v>1152</v>
      </c>
      <c r="E89" s="575">
        <v>1120</v>
      </c>
      <c r="F89" s="575">
        <v>1120</v>
      </c>
      <c r="G89" s="264">
        <f t="shared" si="21"/>
        <v>100</v>
      </c>
      <c r="H89" s="688">
        <v>16666</v>
      </c>
      <c r="I89" s="688">
        <v>10027</v>
      </c>
      <c r="J89" s="688">
        <v>10027</v>
      </c>
      <c r="K89" s="503">
        <f t="shared" si="18"/>
        <v>100</v>
      </c>
      <c r="L89" s="309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</row>
    <row r="90" spans="1:84" s="247" customFormat="1" ht="18.75">
      <c r="A90" s="348"/>
      <c r="B90" s="37" t="s">
        <v>69</v>
      </c>
      <c r="C90" s="136" t="s">
        <v>61</v>
      </c>
      <c r="D90" s="195">
        <v>239</v>
      </c>
      <c r="E90" s="575">
        <v>188</v>
      </c>
      <c r="F90" s="575">
        <v>188</v>
      </c>
      <c r="G90" s="264">
        <v>0</v>
      </c>
      <c r="H90" s="688">
        <v>3310</v>
      </c>
      <c r="I90" s="687">
        <v>1678</v>
      </c>
      <c r="J90" s="687">
        <v>1678</v>
      </c>
      <c r="K90" s="503">
        <f t="shared" si="18"/>
        <v>100</v>
      </c>
      <c r="L90" s="309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</row>
    <row r="91" spans="1:84" s="352" customFormat="1" ht="32.25">
      <c r="A91" s="348"/>
      <c r="B91" s="6" t="s">
        <v>75</v>
      </c>
      <c r="C91" s="136" t="s">
        <v>61</v>
      </c>
      <c r="D91" s="195">
        <f>SUM(D92:D94)</f>
        <v>1518</v>
      </c>
      <c r="E91" s="195">
        <f t="shared" ref="E91:F91" si="34">SUM(E92:E94)</f>
        <v>1478</v>
      </c>
      <c r="F91" s="195">
        <f t="shared" si="34"/>
        <v>1478</v>
      </c>
      <c r="G91" s="264">
        <f t="shared" si="21"/>
        <v>100</v>
      </c>
      <c r="H91" s="687">
        <f>SUM(H92:H94)</f>
        <v>32525</v>
      </c>
      <c r="I91" s="687">
        <f t="shared" ref="I91:J91" si="35">SUM(I92:I94)</f>
        <v>21649</v>
      </c>
      <c r="J91" s="687">
        <f t="shared" si="35"/>
        <v>21649</v>
      </c>
      <c r="K91" s="503">
        <f t="shared" si="18"/>
        <v>100</v>
      </c>
      <c r="L91" s="298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</row>
    <row r="92" spans="1:84" s="247" customFormat="1" ht="18.75">
      <c r="A92" s="348"/>
      <c r="B92" s="37" t="s">
        <v>67</v>
      </c>
      <c r="C92" s="136" t="s">
        <v>61</v>
      </c>
      <c r="D92" s="195">
        <v>1518</v>
      </c>
      <c r="E92" s="575">
        <v>1478</v>
      </c>
      <c r="F92" s="575">
        <v>1478</v>
      </c>
      <c r="G92" s="264">
        <f t="shared" si="21"/>
        <v>100</v>
      </c>
      <c r="H92" s="687">
        <v>32525</v>
      </c>
      <c r="I92" s="687">
        <v>21649</v>
      </c>
      <c r="J92" s="687">
        <v>21649</v>
      </c>
      <c r="K92" s="503">
        <f t="shared" si="18"/>
        <v>100</v>
      </c>
      <c r="L92" s="309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</row>
    <row r="93" spans="1:84" s="247" customFormat="1" ht="18.75">
      <c r="A93" s="348"/>
      <c r="B93" s="37" t="s">
        <v>68</v>
      </c>
      <c r="C93" s="136" t="s">
        <v>61</v>
      </c>
      <c r="D93" s="195">
        <v>0</v>
      </c>
      <c r="E93" s="575">
        <v>0</v>
      </c>
      <c r="F93" s="575">
        <v>0</v>
      </c>
      <c r="G93" s="264" t="e">
        <f t="shared" si="21"/>
        <v>#DIV/0!</v>
      </c>
      <c r="H93" s="688">
        <v>0</v>
      </c>
      <c r="I93" s="688">
        <v>0</v>
      </c>
      <c r="J93" s="688">
        <v>0</v>
      </c>
      <c r="K93" s="503" t="e">
        <f t="shared" si="18"/>
        <v>#DIV/0!</v>
      </c>
      <c r="L93" s="309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</row>
    <row r="94" spans="1:84" s="247" customFormat="1" ht="18.75">
      <c r="A94" s="348"/>
      <c r="B94" s="37" t="s">
        <v>69</v>
      </c>
      <c r="C94" s="136" t="s">
        <v>61</v>
      </c>
      <c r="D94" s="195">
        <v>0</v>
      </c>
      <c r="E94" s="575">
        <v>0</v>
      </c>
      <c r="F94" s="575">
        <v>0</v>
      </c>
      <c r="G94" s="264" t="e">
        <f t="shared" si="21"/>
        <v>#DIV/0!</v>
      </c>
      <c r="H94" s="687">
        <v>0</v>
      </c>
      <c r="I94" s="687">
        <v>0</v>
      </c>
      <c r="J94" s="687">
        <v>0</v>
      </c>
      <c r="K94" s="503" t="e">
        <f t="shared" si="18"/>
        <v>#DIV/0!</v>
      </c>
      <c r="L94" s="412"/>
      <c r="M94" s="413"/>
      <c r="N94" s="413"/>
      <c r="O94" s="413"/>
      <c r="P94" s="413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</row>
    <row r="95" spans="1:84" s="247" customFormat="1" ht="48">
      <c r="A95" s="348"/>
      <c r="B95" s="6" t="s">
        <v>343</v>
      </c>
      <c r="C95" s="136" t="s">
        <v>61</v>
      </c>
      <c r="D95" s="195">
        <f>SUM(D96:D98)</f>
        <v>72</v>
      </c>
      <c r="E95" s="195">
        <f t="shared" ref="E95:F95" si="36">SUM(E96:E98)</f>
        <v>59</v>
      </c>
      <c r="F95" s="195">
        <f t="shared" si="36"/>
        <v>59</v>
      </c>
      <c r="G95" s="264">
        <f t="shared" si="21"/>
        <v>100</v>
      </c>
      <c r="H95" s="687">
        <f>SUM(H96:H98)</f>
        <v>2110</v>
      </c>
      <c r="I95" s="687">
        <f t="shared" ref="I95:J95" si="37">SUM(I96:I98)</f>
        <v>973</v>
      </c>
      <c r="J95" s="687">
        <f t="shared" si="37"/>
        <v>973</v>
      </c>
      <c r="K95" s="503">
        <f t="shared" si="18"/>
        <v>100</v>
      </c>
      <c r="L95" s="412"/>
      <c r="M95" s="413"/>
      <c r="N95" s="413"/>
      <c r="O95" s="413"/>
      <c r="P95" s="413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</row>
    <row r="96" spans="1:84" s="247" customFormat="1" ht="18.75">
      <c r="A96" s="348"/>
      <c r="B96" s="37" t="s">
        <v>67</v>
      </c>
      <c r="C96" s="136" t="s">
        <v>61</v>
      </c>
      <c r="D96" s="195">
        <v>0</v>
      </c>
      <c r="E96" s="575">
        <f>'[1]Свод за 2021 год'!E350</f>
        <v>0</v>
      </c>
      <c r="F96" s="575">
        <f>'[1]Свод за 2021 год'!F350</f>
        <v>0</v>
      </c>
      <c r="G96" s="264" t="e">
        <f t="shared" si="21"/>
        <v>#DIV/0!</v>
      </c>
      <c r="H96" s="687"/>
      <c r="I96" s="687"/>
      <c r="J96" s="687"/>
      <c r="K96" s="503" t="e">
        <f t="shared" si="18"/>
        <v>#DIV/0!</v>
      </c>
      <c r="L96" s="309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07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</row>
    <row r="97" spans="1:84" s="352" customFormat="1" ht="18.75">
      <c r="A97" s="348"/>
      <c r="B97" s="37" t="s">
        <v>68</v>
      </c>
      <c r="C97" s="136" t="s">
        <v>61</v>
      </c>
      <c r="D97" s="195">
        <v>65</v>
      </c>
      <c r="E97" s="575">
        <v>53</v>
      </c>
      <c r="F97" s="575">
        <v>53</v>
      </c>
      <c r="G97" s="264">
        <f t="shared" si="21"/>
        <v>100</v>
      </c>
      <c r="H97" s="687">
        <v>1905</v>
      </c>
      <c r="I97" s="687">
        <v>874</v>
      </c>
      <c r="J97" s="687">
        <v>874</v>
      </c>
      <c r="K97" s="503">
        <f t="shared" si="18"/>
        <v>100</v>
      </c>
      <c r="L97" s="298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1"/>
      <c r="BK97" s="411"/>
      <c r="BL97" s="411"/>
      <c r="BM97" s="411"/>
      <c r="BN97" s="411"/>
      <c r="BO97" s="411"/>
      <c r="BP97" s="411"/>
      <c r="BQ97" s="411"/>
      <c r="BR97" s="411"/>
      <c r="BS97" s="411"/>
      <c r="BT97" s="411"/>
      <c r="BU97" s="411"/>
      <c r="BV97" s="411"/>
      <c r="BW97" s="411"/>
      <c r="BX97" s="411"/>
      <c r="BY97" s="411"/>
      <c r="BZ97" s="411"/>
      <c r="CA97" s="411"/>
      <c r="CB97" s="411"/>
      <c r="CC97" s="411"/>
      <c r="CD97" s="411"/>
      <c r="CE97" s="411"/>
      <c r="CF97" s="411"/>
    </row>
    <row r="98" spans="1:84" s="247" customFormat="1" ht="18.75">
      <c r="A98" s="348"/>
      <c r="B98" s="37" t="s">
        <v>69</v>
      </c>
      <c r="C98" s="136" t="s">
        <v>61</v>
      </c>
      <c r="D98" s="195">
        <v>7</v>
      </c>
      <c r="E98" s="575">
        <v>6</v>
      </c>
      <c r="F98" s="575">
        <v>6</v>
      </c>
      <c r="G98" s="264">
        <f t="shared" si="21"/>
        <v>100</v>
      </c>
      <c r="H98" s="687">
        <v>205</v>
      </c>
      <c r="I98" s="687">
        <v>99</v>
      </c>
      <c r="J98" s="687">
        <v>99</v>
      </c>
      <c r="K98" s="503">
        <f t="shared" si="18"/>
        <v>100</v>
      </c>
      <c r="L98" s="309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</row>
    <row r="99" spans="1:84" s="352" customFormat="1" ht="18.75">
      <c r="A99" s="356"/>
      <c r="B99" s="204" t="s">
        <v>31</v>
      </c>
      <c r="C99" s="205" t="s">
        <v>76</v>
      </c>
      <c r="D99" s="344">
        <f>D100</f>
        <v>0</v>
      </c>
      <c r="E99" s="344">
        <f t="shared" ref="E99:F99" si="38">E100</f>
        <v>1725</v>
      </c>
      <c r="F99" s="344">
        <f t="shared" si="38"/>
        <v>1725</v>
      </c>
      <c r="G99" s="257"/>
      <c r="H99" s="684">
        <f>SUM(H100)</f>
        <v>0</v>
      </c>
      <c r="I99" s="684">
        <f>SUM(I100)</f>
        <v>4076</v>
      </c>
      <c r="J99" s="684">
        <f>SUM(J100)</f>
        <v>4076</v>
      </c>
      <c r="K99" s="430"/>
      <c r="L99" s="298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/>
      <c r="BX99" s="411"/>
      <c r="BY99" s="411"/>
      <c r="BZ99" s="411"/>
      <c r="CA99" s="411"/>
      <c r="CB99" s="411"/>
      <c r="CC99" s="411"/>
      <c r="CD99" s="411"/>
      <c r="CE99" s="411"/>
      <c r="CF99" s="411"/>
    </row>
    <row r="100" spans="1:84" s="433" customFormat="1" ht="19.5">
      <c r="A100" s="348"/>
      <c r="B100" s="6" t="s">
        <v>142</v>
      </c>
      <c r="C100" s="136" t="s">
        <v>76</v>
      </c>
      <c r="D100" s="195">
        <v>0</v>
      </c>
      <c r="E100" s="575">
        <v>1725</v>
      </c>
      <c r="F100" s="575">
        <v>1725</v>
      </c>
      <c r="G100" s="264">
        <f t="shared" si="21"/>
        <v>100</v>
      </c>
      <c r="H100" s="687">
        <v>0</v>
      </c>
      <c r="I100" s="687">
        <f>1797+2279</f>
        <v>4076</v>
      </c>
      <c r="J100" s="687">
        <f>1797+2279</f>
        <v>4076</v>
      </c>
      <c r="K100" s="503">
        <f t="shared" si="18"/>
        <v>100</v>
      </c>
      <c r="L100" s="431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  <c r="BV100" s="432"/>
      <c r="BW100" s="432"/>
      <c r="BX100" s="432"/>
      <c r="BY100" s="432"/>
      <c r="BZ100" s="432"/>
      <c r="CA100" s="432"/>
      <c r="CB100" s="432"/>
      <c r="CC100" s="432"/>
      <c r="CD100" s="432"/>
      <c r="CE100" s="432"/>
      <c r="CF100" s="432"/>
    </row>
    <row r="101" spans="1:84" s="352" customFormat="1" ht="18.75">
      <c r="A101" s="356"/>
      <c r="B101" s="204" t="s">
        <v>78</v>
      </c>
      <c r="C101" s="205" t="s">
        <v>5</v>
      </c>
      <c r="D101" s="344">
        <f>D102</f>
        <v>5283</v>
      </c>
      <c r="E101" s="344">
        <f t="shared" ref="E101:F101" si="39">E102</f>
        <v>5283</v>
      </c>
      <c r="F101" s="344">
        <f t="shared" si="39"/>
        <v>5283</v>
      </c>
      <c r="G101" s="257">
        <f t="shared" si="21"/>
        <v>100</v>
      </c>
      <c r="H101" s="685">
        <f>H102</f>
        <v>9281</v>
      </c>
      <c r="I101" s="685">
        <f>I102</f>
        <v>9747</v>
      </c>
      <c r="J101" s="685">
        <f>J102</f>
        <v>9747</v>
      </c>
      <c r="K101" s="430">
        <f t="shared" si="18"/>
        <v>100</v>
      </c>
      <c r="L101" s="298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</row>
    <row r="102" spans="1:84" s="433" customFormat="1" ht="19.5">
      <c r="A102" s="348"/>
      <c r="B102" s="6" t="s">
        <v>79</v>
      </c>
      <c r="C102" s="136" t="s">
        <v>5</v>
      </c>
      <c r="D102" s="195">
        <v>5283</v>
      </c>
      <c r="E102" s="575">
        <v>5283</v>
      </c>
      <c r="F102" s="575">
        <v>5283</v>
      </c>
      <c r="G102" s="264">
        <f t="shared" si="21"/>
        <v>100</v>
      </c>
      <c r="H102" s="688">
        <v>9281</v>
      </c>
      <c r="I102" s="688">
        <v>9747</v>
      </c>
      <c r="J102" s="688">
        <v>9747</v>
      </c>
      <c r="K102" s="503">
        <f t="shared" si="18"/>
        <v>100</v>
      </c>
      <c r="L102" s="431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32"/>
      <c r="AW102" s="432"/>
      <c r="AX102" s="432"/>
      <c r="AY102" s="432"/>
      <c r="AZ102" s="432"/>
      <c r="BA102" s="432"/>
      <c r="BB102" s="432"/>
      <c r="BC102" s="432"/>
      <c r="BD102" s="432"/>
      <c r="BE102" s="432"/>
      <c r="BF102" s="432"/>
      <c r="BG102" s="432"/>
      <c r="BH102" s="432"/>
      <c r="BI102" s="432"/>
      <c r="BJ102" s="432"/>
      <c r="BK102" s="432"/>
      <c r="BL102" s="432"/>
      <c r="BM102" s="432"/>
      <c r="BN102" s="432"/>
      <c r="BO102" s="432"/>
      <c r="BP102" s="432"/>
      <c r="BQ102" s="432"/>
      <c r="BR102" s="432"/>
      <c r="BS102" s="432"/>
      <c r="BT102" s="432"/>
      <c r="BU102" s="432"/>
      <c r="BV102" s="432"/>
      <c r="BW102" s="432"/>
      <c r="BX102" s="432"/>
      <c r="BY102" s="432"/>
      <c r="BZ102" s="432"/>
      <c r="CA102" s="432"/>
      <c r="CB102" s="432"/>
      <c r="CC102" s="432"/>
      <c r="CD102" s="432"/>
      <c r="CE102" s="432"/>
      <c r="CF102" s="432"/>
    </row>
    <row r="103" spans="1:84" s="352" customFormat="1" ht="18.75">
      <c r="A103" s="581"/>
      <c r="B103" s="599" t="s">
        <v>292</v>
      </c>
      <c r="C103" s="582"/>
      <c r="D103" s="583">
        <f>D104+D108</f>
        <v>5342</v>
      </c>
      <c r="E103" s="583">
        <f t="shared" ref="E103:F103" si="40">E104+E108</f>
        <v>5114</v>
      </c>
      <c r="F103" s="583">
        <f t="shared" si="40"/>
        <v>5100</v>
      </c>
      <c r="G103" s="584">
        <f t="shared" si="21"/>
        <v>99.726241689479849</v>
      </c>
      <c r="H103" s="694">
        <f>H104+H108</f>
        <v>678508</v>
      </c>
      <c r="I103" s="694">
        <f t="shared" ref="I103:J103" si="41">I104+I108</f>
        <v>704034</v>
      </c>
      <c r="J103" s="694">
        <f t="shared" si="41"/>
        <v>704034</v>
      </c>
      <c r="K103" s="695">
        <f t="shared" si="18"/>
        <v>100</v>
      </c>
      <c r="L103" s="298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  <c r="BL103" s="411"/>
      <c r="BM103" s="411"/>
      <c r="BN103" s="411"/>
      <c r="BO103" s="411"/>
      <c r="BP103" s="411"/>
      <c r="BQ103" s="411"/>
      <c r="BR103" s="411"/>
      <c r="BS103" s="411"/>
      <c r="BT103" s="411"/>
      <c r="BU103" s="411"/>
      <c r="BV103" s="411"/>
      <c r="BW103" s="411"/>
      <c r="BX103" s="411"/>
      <c r="BY103" s="411"/>
      <c r="BZ103" s="411"/>
      <c r="CA103" s="411"/>
      <c r="CB103" s="411"/>
      <c r="CC103" s="411"/>
      <c r="CD103" s="411"/>
      <c r="CE103" s="411"/>
      <c r="CF103" s="411"/>
    </row>
    <row r="104" spans="1:84" s="352" customFormat="1" ht="18.75">
      <c r="A104" s="203" t="s">
        <v>4</v>
      </c>
      <c r="B104" s="204" t="s">
        <v>89</v>
      </c>
      <c r="C104" s="205" t="s">
        <v>90</v>
      </c>
      <c r="D104" s="576">
        <f>D105+D106+D107</f>
        <v>2671</v>
      </c>
      <c r="E104" s="576">
        <f t="shared" ref="E104:F104" si="42">E105+E106+E107</f>
        <v>2557</v>
      </c>
      <c r="F104" s="576">
        <f t="shared" si="42"/>
        <v>2550</v>
      </c>
      <c r="G104" s="361">
        <f t="shared" si="21"/>
        <v>99.726241689479849</v>
      </c>
      <c r="H104" s="689">
        <f>H105+H106+H107</f>
        <v>5125</v>
      </c>
      <c r="I104" s="689">
        <f t="shared" ref="I104:J104" si="43">I105+I106+I107</f>
        <v>5497</v>
      </c>
      <c r="J104" s="689">
        <f t="shared" si="43"/>
        <v>5497</v>
      </c>
      <c r="K104" s="503">
        <f t="shared" si="18"/>
        <v>100</v>
      </c>
      <c r="L104" s="298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411"/>
      <c r="BU104" s="411"/>
      <c r="BV104" s="411"/>
      <c r="BW104" s="411"/>
      <c r="BX104" s="411"/>
      <c r="BY104" s="411"/>
      <c r="BZ104" s="411"/>
      <c r="CA104" s="411"/>
      <c r="CB104" s="411"/>
      <c r="CC104" s="411"/>
      <c r="CD104" s="411"/>
      <c r="CE104" s="411"/>
      <c r="CF104" s="411"/>
    </row>
    <row r="105" spans="1:84" s="352" customFormat="1" ht="18.75">
      <c r="A105" s="5" t="s">
        <v>26</v>
      </c>
      <c r="B105" s="6" t="s">
        <v>91</v>
      </c>
      <c r="C105" s="136" t="s">
        <v>90</v>
      </c>
      <c r="D105" s="195">
        <v>2627</v>
      </c>
      <c r="E105" s="195">
        <v>2503</v>
      </c>
      <c r="F105" s="195">
        <v>2494</v>
      </c>
      <c r="G105" s="264">
        <f t="shared" si="21"/>
        <v>99.640431482221331</v>
      </c>
      <c r="H105" s="688">
        <f>3752.7+0.3</f>
        <v>3753</v>
      </c>
      <c r="I105" s="687">
        <v>3735</v>
      </c>
      <c r="J105" s="687">
        <f>I105</f>
        <v>3735</v>
      </c>
      <c r="K105" s="503">
        <f t="shared" si="18"/>
        <v>100</v>
      </c>
      <c r="L105" s="298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/>
      <c r="AS105" s="411"/>
      <c r="AT105" s="411"/>
      <c r="AU105" s="411"/>
      <c r="AV105" s="411"/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1"/>
      <c r="BH105" s="411"/>
      <c r="BI105" s="411"/>
      <c r="BJ105" s="411"/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1"/>
      <c r="BW105" s="411"/>
      <c r="BX105" s="411"/>
      <c r="BY105" s="411"/>
      <c r="BZ105" s="411"/>
      <c r="CA105" s="411"/>
      <c r="CB105" s="411"/>
      <c r="CC105" s="411"/>
      <c r="CD105" s="411"/>
      <c r="CE105" s="411"/>
      <c r="CF105" s="411"/>
    </row>
    <row r="106" spans="1:84" s="352" customFormat="1" ht="18.75">
      <c r="A106" s="5" t="s">
        <v>27</v>
      </c>
      <c r="B106" s="6" t="s">
        <v>92</v>
      </c>
      <c r="C106" s="136" t="s">
        <v>90</v>
      </c>
      <c r="D106" s="195">
        <v>26</v>
      </c>
      <c r="E106" s="195">
        <v>35</v>
      </c>
      <c r="F106" s="195">
        <v>36</v>
      </c>
      <c r="G106" s="264">
        <f t="shared" si="21"/>
        <v>102.85714285714285</v>
      </c>
      <c r="H106" s="688">
        <f>810.8+0.2</f>
        <v>811</v>
      </c>
      <c r="I106" s="687">
        <v>1142</v>
      </c>
      <c r="J106" s="687">
        <v>1142</v>
      </c>
      <c r="K106" s="503"/>
      <c r="L106" s="298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1"/>
      <c r="AQ106" s="411"/>
      <c r="AR106" s="411"/>
      <c r="AS106" s="411"/>
      <c r="AT106" s="411"/>
      <c r="AU106" s="411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/>
      <c r="BI106" s="411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1"/>
      <c r="BW106" s="411"/>
      <c r="BX106" s="411"/>
      <c r="BY106" s="411"/>
      <c r="BZ106" s="411"/>
      <c r="CA106" s="411"/>
      <c r="CB106" s="411"/>
      <c r="CC106" s="411"/>
      <c r="CD106" s="411"/>
      <c r="CE106" s="411"/>
      <c r="CF106" s="411"/>
    </row>
    <row r="107" spans="1:84" s="247" customFormat="1" ht="18.75">
      <c r="A107" s="5" t="s">
        <v>28</v>
      </c>
      <c r="B107" s="6" t="s">
        <v>94</v>
      </c>
      <c r="C107" s="136" t="s">
        <v>90</v>
      </c>
      <c r="D107" s="259">
        <v>18</v>
      </c>
      <c r="E107" s="195">
        <v>19</v>
      </c>
      <c r="F107" s="195">
        <v>20</v>
      </c>
      <c r="G107" s="586">
        <f>F107/E107*100</f>
        <v>105.26315789473684</v>
      </c>
      <c r="H107" s="691">
        <f>561.3-0.3</f>
        <v>561</v>
      </c>
      <c r="I107" s="691">
        <v>620</v>
      </c>
      <c r="J107" s="691">
        <v>620</v>
      </c>
      <c r="K107" s="696">
        <f>J107/I107*100</f>
        <v>100</v>
      </c>
      <c r="L107" s="309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</row>
    <row r="108" spans="1:84" s="247" customFormat="1" ht="18.75">
      <c r="A108" s="203" t="s">
        <v>95</v>
      </c>
      <c r="B108" s="204" t="s">
        <v>96</v>
      </c>
      <c r="C108" s="205" t="s">
        <v>61</v>
      </c>
      <c r="D108" s="259">
        <f>D109+D110+D111</f>
        <v>2671</v>
      </c>
      <c r="E108" s="259">
        <f t="shared" ref="E108:F108" si="44">E109+E110+E111</f>
        <v>2557</v>
      </c>
      <c r="F108" s="259">
        <f t="shared" si="44"/>
        <v>2550</v>
      </c>
      <c r="G108" s="257">
        <f>F108/E108*100</f>
        <v>99.726241689479849</v>
      </c>
      <c r="H108" s="684">
        <f>H109+H110+H111</f>
        <v>673383</v>
      </c>
      <c r="I108" s="684">
        <f t="shared" ref="I108:J108" si="45">I109+I110+I111</f>
        <v>698537</v>
      </c>
      <c r="J108" s="684">
        <f t="shared" si="45"/>
        <v>698537</v>
      </c>
      <c r="K108" s="696">
        <f>J108/I108*100</f>
        <v>100</v>
      </c>
      <c r="L108" s="309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</row>
    <row r="109" spans="1:84" s="247" customFormat="1" ht="18.75">
      <c r="A109" s="5" t="s">
        <v>97</v>
      </c>
      <c r="B109" s="6" t="s">
        <v>98</v>
      </c>
      <c r="C109" s="136" t="s">
        <v>61</v>
      </c>
      <c r="D109" s="266">
        <v>465</v>
      </c>
      <c r="E109" s="195">
        <v>421</v>
      </c>
      <c r="F109" s="195">
        <v>428</v>
      </c>
      <c r="G109" s="264">
        <f t="shared" ref="G109:G123" si="46">F109/E109*100</f>
        <v>101.66270783847982</v>
      </c>
      <c r="H109" s="687">
        <f>112962.3-0.3</f>
        <v>112962</v>
      </c>
      <c r="I109" s="687">
        <f>109888.1-0.1</f>
        <v>109888</v>
      </c>
      <c r="J109" s="687">
        <f>I109</f>
        <v>109888</v>
      </c>
      <c r="K109" s="428">
        <f t="shared" ref="K109:K123" si="47">J109/I109*100</f>
        <v>100</v>
      </c>
      <c r="L109" s="309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</row>
    <row r="110" spans="1:84" s="247" customFormat="1" ht="18.75">
      <c r="A110" s="5" t="s">
        <v>99</v>
      </c>
      <c r="B110" s="6" t="s">
        <v>100</v>
      </c>
      <c r="C110" s="136" t="s">
        <v>61</v>
      </c>
      <c r="D110" s="266">
        <v>1928</v>
      </c>
      <c r="E110" s="195">
        <v>1860</v>
      </c>
      <c r="F110" s="195">
        <v>1847</v>
      </c>
      <c r="G110" s="264">
        <f t="shared" si="46"/>
        <v>99.3010752688172</v>
      </c>
      <c r="H110" s="687">
        <f>410365.3-0.3</f>
        <v>410365</v>
      </c>
      <c r="I110" s="687">
        <f>424853.2-0.2</f>
        <v>424853</v>
      </c>
      <c r="J110" s="687">
        <f>424853.2-0.2</f>
        <v>424853</v>
      </c>
      <c r="K110" s="428">
        <f t="shared" si="47"/>
        <v>100</v>
      </c>
      <c r="L110" s="309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7"/>
      <c r="BU110" s="407"/>
      <c r="BV110" s="407"/>
      <c r="BW110" s="407"/>
      <c r="BX110" s="407"/>
      <c r="BY110" s="407"/>
      <c r="BZ110" s="407"/>
      <c r="CA110" s="407"/>
      <c r="CB110" s="407"/>
      <c r="CC110" s="407"/>
      <c r="CD110" s="407"/>
      <c r="CE110" s="407"/>
      <c r="CF110" s="407"/>
    </row>
    <row r="111" spans="1:84" s="262" customFormat="1" ht="31.5">
      <c r="A111" s="5" t="s">
        <v>223</v>
      </c>
      <c r="B111" s="6" t="s">
        <v>102</v>
      </c>
      <c r="C111" s="136" t="s">
        <v>61</v>
      </c>
      <c r="D111" s="589">
        <v>278</v>
      </c>
      <c r="E111" s="195">
        <v>276</v>
      </c>
      <c r="F111" s="195">
        <v>275</v>
      </c>
      <c r="G111" s="264">
        <f t="shared" si="46"/>
        <v>99.637681159420282</v>
      </c>
      <c r="H111" s="687">
        <f>150055.8+0.2</f>
        <v>150056</v>
      </c>
      <c r="I111" s="687">
        <f>163795.9+0.1</f>
        <v>163796</v>
      </c>
      <c r="J111" s="687">
        <f>I111</f>
        <v>163796</v>
      </c>
      <c r="K111" s="428">
        <f t="shared" si="47"/>
        <v>100</v>
      </c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</row>
    <row r="112" spans="1:84" s="262" customFormat="1" ht="18.75">
      <c r="A112" s="590"/>
      <c r="B112" s="594" t="s">
        <v>110</v>
      </c>
      <c r="C112" s="4"/>
      <c r="D112" s="259">
        <f>SUM(D113:D117)</f>
        <v>424</v>
      </c>
      <c r="E112" s="259">
        <f>SUM(E113:E117)</f>
        <v>544</v>
      </c>
      <c r="F112" s="259">
        <f>SUM(F113:F117)</f>
        <v>544</v>
      </c>
      <c r="G112" s="361">
        <f t="shared" si="46"/>
        <v>100</v>
      </c>
      <c r="H112" s="684">
        <f>SUM(H113:H117)</f>
        <v>31058</v>
      </c>
      <c r="I112" s="684">
        <f>SUM(I113:I117)</f>
        <v>36299</v>
      </c>
      <c r="J112" s="684">
        <f>SUM(J113:J117)</f>
        <v>36299</v>
      </c>
      <c r="K112" s="428">
        <f t="shared" si="47"/>
        <v>100</v>
      </c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  <c r="BX112" s="309"/>
      <c r="BY112" s="309"/>
      <c r="BZ112" s="309"/>
      <c r="CA112" s="309"/>
      <c r="CB112" s="309"/>
      <c r="CC112" s="309"/>
      <c r="CD112" s="309"/>
      <c r="CE112" s="309"/>
      <c r="CF112" s="309"/>
    </row>
    <row r="113" spans="1:84" s="262" customFormat="1" ht="15.75">
      <c r="A113" s="111" t="s">
        <v>4</v>
      </c>
      <c r="B113" s="2" t="s">
        <v>328</v>
      </c>
      <c r="C113" s="196" t="s">
        <v>112</v>
      </c>
      <c r="D113" s="589">
        <v>0</v>
      </c>
      <c r="E113" s="640">
        <v>120</v>
      </c>
      <c r="F113" s="640">
        <v>120</v>
      </c>
      <c r="G113" s="264">
        <f t="shared" si="46"/>
        <v>100</v>
      </c>
      <c r="H113" s="687">
        <v>0</v>
      </c>
      <c r="I113" s="687">
        <f>179.9+0.1</f>
        <v>180</v>
      </c>
      <c r="J113" s="687">
        <f>I113</f>
        <v>180</v>
      </c>
      <c r="K113" s="428">
        <f t="shared" si="47"/>
        <v>100</v>
      </c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</row>
    <row r="114" spans="1:84" s="262" customFormat="1" ht="31.5">
      <c r="A114" s="111" t="s">
        <v>6</v>
      </c>
      <c r="B114" s="2" t="s">
        <v>113</v>
      </c>
      <c r="C114" s="196" t="s">
        <v>114</v>
      </c>
      <c r="D114" s="641">
        <v>96</v>
      </c>
      <c r="E114" s="640">
        <v>96</v>
      </c>
      <c r="F114" s="640">
        <v>96</v>
      </c>
      <c r="G114" s="264">
        <f t="shared" si="46"/>
        <v>100</v>
      </c>
      <c r="H114" s="687">
        <v>11534</v>
      </c>
      <c r="I114" s="687">
        <f>12679.7+0.3</f>
        <v>12680</v>
      </c>
      <c r="J114" s="687">
        <f>I114</f>
        <v>12680</v>
      </c>
      <c r="K114" s="428">
        <f t="shared" si="47"/>
        <v>100</v>
      </c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</row>
    <row r="115" spans="1:84" s="262" customFormat="1" ht="63">
      <c r="A115" s="111" t="s">
        <v>8</v>
      </c>
      <c r="B115" s="52" t="s">
        <v>115</v>
      </c>
      <c r="C115" s="437" t="s">
        <v>116</v>
      </c>
      <c r="D115" s="641">
        <v>324</v>
      </c>
      <c r="E115" s="640">
        <v>324</v>
      </c>
      <c r="F115" s="640">
        <v>324</v>
      </c>
      <c r="G115" s="264">
        <f t="shared" si="46"/>
        <v>100</v>
      </c>
      <c r="H115" s="687">
        <v>17702</v>
      </c>
      <c r="I115" s="687">
        <f>21569.3-0.3</f>
        <v>21569</v>
      </c>
      <c r="J115" s="687">
        <f t="shared" ref="J115:J117" si="48">I115</f>
        <v>21569</v>
      </c>
      <c r="K115" s="428">
        <f t="shared" si="47"/>
        <v>100</v>
      </c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</row>
    <row r="116" spans="1:84" s="262" customFormat="1" ht="47.25">
      <c r="A116" s="111" t="s">
        <v>18</v>
      </c>
      <c r="B116" s="52" t="s">
        <v>184</v>
      </c>
      <c r="C116" s="196" t="s">
        <v>117</v>
      </c>
      <c r="D116" s="641">
        <v>2</v>
      </c>
      <c r="E116" s="640">
        <v>2</v>
      </c>
      <c r="F116" s="640">
        <v>2</v>
      </c>
      <c r="G116" s="264">
        <f t="shared" si="46"/>
        <v>100</v>
      </c>
      <c r="H116" s="687">
        <v>1040</v>
      </c>
      <c r="I116" s="687">
        <f>1063.4+0.6</f>
        <v>1064</v>
      </c>
      <c r="J116" s="687">
        <f t="shared" si="48"/>
        <v>1064</v>
      </c>
      <c r="K116" s="428">
        <f t="shared" si="47"/>
        <v>100</v>
      </c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</row>
    <row r="117" spans="1:84" s="262" customFormat="1" ht="63">
      <c r="A117" s="111" t="s">
        <v>21</v>
      </c>
      <c r="B117" s="52" t="s">
        <v>118</v>
      </c>
      <c r="C117" s="196" t="s">
        <v>117</v>
      </c>
      <c r="D117" s="641">
        <v>2</v>
      </c>
      <c r="E117" s="640">
        <v>2</v>
      </c>
      <c r="F117" s="640">
        <v>2</v>
      </c>
      <c r="G117" s="264">
        <f t="shared" si="46"/>
        <v>100</v>
      </c>
      <c r="H117" s="687">
        <v>782</v>
      </c>
      <c r="I117" s="687">
        <f>806.2-0.2</f>
        <v>806</v>
      </c>
      <c r="J117" s="687">
        <f t="shared" si="48"/>
        <v>806</v>
      </c>
      <c r="K117" s="428">
        <f t="shared" si="47"/>
        <v>100</v>
      </c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</row>
    <row r="118" spans="1:84" s="262" customFormat="1" ht="18.75">
      <c r="A118" s="590"/>
      <c r="B118" s="594" t="s">
        <v>119</v>
      </c>
      <c r="C118" s="206"/>
      <c r="D118" s="259">
        <f>SUM(D119:D123)</f>
        <v>626</v>
      </c>
      <c r="E118" s="259">
        <f>SUM(E119:E123)</f>
        <v>494</v>
      </c>
      <c r="F118" s="259">
        <f>SUM(F119:F123)</f>
        <v>494</v>
      </c>
      <c r="G118" s="257">
        <f t="shared" si="46"/>
        <v>100</v>
      </c>
      <c r="H118" s="684">
        <f>SUM(H119:H123)</f>
        <v>30566</v>
      </c>
      <c r="I118" s="684">
        <f>SUM(I119:I123)</f>
        <v>26310</v>
      </c>
      <c r="J118" s="684">
        <f>SUM(J119:J123)</f>
        <v>26310</v>
      </c>
      <c r="K118" s="696">
        <f t="shared" si="47"/>
        <v>100</v>
      </c>
      <c r="L118" s="623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</row>
    <row r="119" spans="1:84" s="262" customFormat="1" ht="15.75">
      <c r="A119" s="181" t="s">
        <v>4</v>
      </c>
      <c r="B119" s="80" t="s">
        <v>111</v>
      </c>
      <c r="C119" s="182" t="s">
        <v>9</v>
      </c>
      <c r="D119" s="589">
        <v>326</v>
      </c>
      <c r="E119" s="184">
        <v>201</v>
      </c>
      <c r="F119" s="184">
        <v>201</v>
      </c>
      <c r="G119" s="264">
        <f t="shared" si="46"/>
        <v>100</v>
      </c>
      <c r="H119" s="697">
        <v>14293</v>
      </c>
      <c r="I119" s="697">
        <f>9775+1</f>
        <v>9776</v>
      </c>
      <c r="J119" s="697">
        <f>9775+1</f>
        <v>9776</v>
      </c>
      <c r="K119" s="428">
        <f t="shared" si="47"/>
        <v>100</v>
      </c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</row>
    <row r="120" spans="1:84" s="262" customFormat="1" ht="31.5">
      <c r="A120" s="181" t="s">
        <v>6</v>
      </c>
      <c r="B120" s="80" t="s">
        <v>120</v>
      </c>
      <c r="C120" s="185" t="s">
        <v>117</v>
      </c>
      <c r="D120" s="589">
        <v>4</v>
      </c>
      <c r="E120" s="4">
        <v>4</v>
      </c>
      <c r="F120" s="4">
        <v>4</v>
      </c>
      <c r="G120" s="264">
        <f t="shared" si="46"/>
        <v>100</v>
      </c>
      <c r="H120" s="697">
        <v>1781</v>
      </c>
      <c r="I120" s="697">
        <v>1793</v>
      </c>
      <c r="J120" s="697">
        <v>1793</v>
      </c>
      <c r="K120" s="428">
        <f t="shared" si="47"/>
        <v>100</v>
      </c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</row>
    <row r="121" spans="1:84" s="262" customFormat="1" ht="31.5">
      <c r="A121" s="181" t="s">
        <v>8</v>
      </c>
      <c r="B121" s="85" t="s">
        <v>121</v>
      </c>
      <c r="C121" s="186" t="s">
        <v>208</v>
      </c>
      <c r="D121" s="589">
        <v>9</v>
      </c>
      <c r="E121" s="640">
        <v>9</v>
      </c>
      <c r="F121" s="640">
        <v>9</v>
      </c>
      <c r="G121" s="264">
        <f t="shared" si="46"/>
        <v>100</v>
      </c>
      <c r="H121" s="697">
        <v>3666</v>
      </c>
      <c r="I121" s="697">
        <v>3839</v>
      </c>
      <c r="J121" s="697">
        <v>3839</v>
      </c>
      <c r="K121" s="428">
        <f t="shared" si="47"/>
        <v>100</v>
      </c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</row>
    <row r="122" spans="1:84" s="262" customFormat="1" ht="47.25">
      <c r="A122" s="181" t="s">
        <v>18</v>
      </c>
      <c r="B122" s="85" t="s">
        <v>122</v>
      </c>
      <c r="C122" s="186" t="s">
        <v>114</v>
      </c>
      <c r="D122" s="589">
        <v>200</v>
      </c>
      <c r="E122" s="640">
        <v>200</v>
      </c>
      <c r="F122" s="640">
        <v>200</v>
      </c>
      <c r="G122" s="264">
        <f t="shared" si="46"/>
        <v>100</v>
      </c>
      <c r="H122" s="697">
        <v>4477</v>
      </c>
      <c r="I122" s="697">
        <v>4508</v>
      </c>
      <c r="J122" s="697">
        <v>4508</v>
      </c>
      <c r="K122" s="428">
        <f t="shared" si="47"/>
        <v>100</v>
      </c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</row>
    <row r="123" spans="1:84" s="262" customFormat="1" ht="31.5">
      <c r="A123" s="181" t="s">
        <v>21</v>
      </c>
      <c r="B123" s="85" t="s">
        <v>123</v>
      </c>
      <c r="C123" s="186" t="s">
        <v>124</v>
      </c>
      <c r="D123" s="589">
        <v>87</v>
      </c>
      <c r="E123" s="640">
        <v>80</v>
      </c>
      <c r="F123" s="640">
        <v>80</v>
      </c>
      <c r="G123" s="264">
        <f t="shared" si="46"/>
        <v>100</v>
      </c>
      <c r="H123" s="697">
        <v>6349</v>
      </c>
      <c r="I123" s="697">
        <v>6394</v>
      </c>
      <c r="J123" s="697">
        <v>6394</v>
      </c>
      <c r="K123" s="428">
        <f t="shared" si="47"/>
        <v>100</v>
      </c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</row>
    <row r="124" spans="1:84" s="262" customFormat="1" ht="15.75">
      <c r="A124" s="181"/>
      <c r="B124" s="85"/>
      <c r="C124" s="186"/>
      <c r="D124" s="589"/>
      <c r="E124" s="640"/>
      <c r="F124" s="640"/>
      <c r="G124" s="264"/>
      <c r="H124" s="697"/>
      <c r="I124" s="697"/>
      <c r="J124" s="697"/>
      <c r="K124" s="428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</row>
    <row r="125" spans="1:84" s="262" customFormat="1" ht="15.75">
      <c r="A125" s="331"/>
      <c r="B125" s="274" t="s">
        <v>344</v>
      </c>
      <c r="C125" s="3" t="s">
        <v>322</v>
      </c>
      <c r="D125" s="34">
        <v>120</v>
      </c>
      <c r="E125" s="34">
        <f>210+515</f>
        <v>725</v>
      </c>
      <c r="F125" s="34">
        <f>210+515</f>
        <v>725</v>
      </c>
      <c r="G125" s="3">
        <v>100</v>
      </c>
      <c r="H125" s="698">
        <f>326+639</f>
        <v>965</v>
      </c>
      <c r="I125" s="698">
        <f>710+1651</f>
        <v>2361</v>
      </c>
      <c r="J125" s="698">
        <f>710+1651</f>
        <v>2361</v>
      </c>
      <c r="K125" s="699">
        <v>100</v>
      </c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</row>
    <row r="126" spans="1:84" s="262" customFormat="1" ht="37.5">
      <c r="A126" s="181"/>
      <c r="B126" s="595" t="s">
        <v>262</v>
      </c>
      <c r="C126" s="186"/>
      <c r="D126" s="7"/>
      <c r="E126" s="112"/>
      <c r="F126" s="112"/>
      <c r="G126" s="131"/>
      <c r="H126" s="554">
        <f>639+18650+803-2587</f>
        <v>17505</v>
      </c>
      <c r="I126" s="554">
        <f>20289+65</f>
        <v>20354</v>
      </c>
      <c r="J126" s="554"/>
      <c r="K126" s="699">
        <v>100</v>
      </c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</row>
    <row r="127" spans="1:84" s="262" customFormat="1" ht="15.75">
      <c r="A127" s="181"/>
      <c r="B127" s="85"/>
      <c r="C127" s="186"/>
      <c r="D127" s="7"/>
      <c r="E127" s="112"/>
      <c r="F127" s="112"/>
      <c r="G127" s="131"/>
      <c r="H127" s="554"/>
      <c r="I127" s="554"/>
      <c r="J127" s="554"/>
      <c r="K127" s="428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</row>
    <row r="128" spans="1:84" s="611" customFormat="1" ht="20.25">
      <c r="A128" s="604"/>
      <c r="B128" s="605" t="s">
        <v>304</v>
      </c>
      <c r="C128" s="606"/>
      <c r="D128" s="607">
        <f>ROUND(D7+D24+D54+D58,0)</f>
        <v>332274</v>
      </c>
      <c r="E128" s="607">
        <f>ROUND(E7+E24+E54+E58,0)</f>
        <v>333239</v>
      </c>
      <c r="F128" s="607">
        <f>ROUND(F7+F24+F54+F58,0)</f>
        <v>335845</v>
      </c>
      <c r="G128" s="608">
        <f>F128/E128*100</f>
        <v>100.7820213120313</v>
      </c>
      <c r="H128" s="700">
        <f>ROUND(H7+H24+H54+H58,0)</f>
        <v>1970637</v>
      </c>
      <c r="I128" s="700">
        <f>ROUND(I7+I24+I54+I58,0)</f>
        <v>1967907</v>
      </c>
      <c r="J128" s="700">
        <f>ROUND(J7+J24+J54+J58,0)</f>
        <v>1935466</v>
      </c>
      <c r="K128" s="701">
        <f>J128/I128*100</f>
        <v>98.351497301447679</v>
      </c>
      <c r="L128" s="610"/>
      <c r="M128" s="610"/>
      <c r="N128" s="610"/>
      <c r="O128" s="610"/>
      <c r="P128" s="610"/>
      <c r="Q128" s="610"/>
      <c r="R128" s="610"/>
      <c r="S128" s="610"/>
      <c r="T128" s="610"/>
      <c r="U128" s="610"/>
      <c r="V128" s="610"/>
      <c r="W128" s="610"/>
      <c r="X128" s="610"/>
      <c r="Y128" s="610"/>
      <c r="Z128" s="610"/>
      <c r="AA128" s="610"/>
      <c r="AB128" s="610"/>
      <c r="AC128" s="610"/>
      <c r="AD128" s="610"/>
      <c r="AE128" s="610"/>
      <c r="AF128" s="610"/>
      <c r="AG128" s="610"/>
      <c r="AH128" s="610"/>
      <c r="AI128" s="610"/>
      <c r="AJ128" s="610"/>
      <c r="AK128" s="610"/>
      <c r="AL128" s="610"/>
      <c r="AM128" s="610"/>
      <c r="AN128" s="610"/>
      <c r="AO128" s="610"/>
      <c r="AP128" s="610"/>
      <c r="AQ128" s="610"/>
      <c r="AR128" s="610"/>
      <c r="AS128" s="610"/>
      <c r="AT128" s="610"/>
      <c r="AU128" s="610"/>
      <c r="AV128" s="610"/>
      <c r="AW128" s="610"/>
      <c r="AX128" s="610"/>
      <c r="AY128" s="610"/>
      <c r="AZ128" s="610"/>
      <c r="BA128" s="610"/>
      <c r="BB128" s="610"/>
      <c r="BC128" s="610"/>
      <c r="BD128" s="610"/>
      <c r="BE128" s="610"/>
      <c r="BF128" s="610"/>
      <c r="BG128" s="610"/>
      <c r="BH128" s="610"/>
      <c r="BI128" s="610"/>
      <c r="BJ128" s="610"/>
      <c r="BK128" s="610"/>
      <c r="BL128" s="610"/>
      <c r="BM128" s="610"/>
      <c r="BN128" s="610"/>
      <c r="BO128" s="610"/>
      <c r="BP128" s="610"/>
      <c r="BQ128" s="610"/>
      <c r="BR128" s="610"/>
      <c r="BS128" s="610"/>
      <c r="BT128" s="610"/>
      <c r="BU128" s="610"/>
      <c r="BV128" s="610"/>
      <c r="BW128" s="610"/>
      <c r="BX128" s="610"/>
      <c r="BY128" s="610"/>
      <c r="BZ128" s="610"/>
      <c r="CA128" s="610"/>
      <c r="CB128" s="610"/>
      <c r="CC128" s="610"/>
      <c r="CD128" s="610"/>
      <c r="CE128" s="610"/>
      <c r="CF128" s="610"/>
    </row>
    <row r="129" spans="1:12">
      <c r="A129" s="591"/>
      <c r="B129" s="600"/>
      <c r="D129" s="646"/>
      <c r="E129" s="309"/>
      <c r="F129" s="309"/>
      <c r="G129" s="398"/>
      <c r="H129" s="702"/>
      <c r="I129" s="702"/>
      <c r="J129" s="702"/>
      <c r="K129" s="418"/>
      <c r="L129" s="309"/>
    </row>
    <row r="130" spans="1:12">
      <c r="D130" s="647"/>
      <c r="E130" s="402"/>
      <c r="F130" s="402"/>
      <c r="H130" s="703"/>
      <c r="I130" s="703"/>
      <c r="J130" s="703"/>
    </row>
    <row r="131" spans="1:12">
      <c r="D131" s="646"/>
      <c r="H131" s="703"/>
      <c r="I131" s="703"/>
      <c r="J131" s="703"/>
    </row>
    <row r="132" spans="1:12">
      <c r="D132" s="648"/>
      <c r="E132" s="649"/>
      <c r="F132" s="405"/>
      <c r="H132" s="703"/>
      <c r="I132" s="703"/>
      <c r="J132" s="703"/>
    </row>
    <row r="133" spans="1:12">
      <c r="D133" s="650"/>
      <c r="E133" s="651"/>
      <c r="H133" s="703"/>
      <c r="I133" s="703"/>
      <c r="J133" s="703"/>
    </row>
    <row r="134" spans="1:12">
      <c r="D134" s="646"/>
    </row>
    <row r="135" spans="1:12">
      <c r="D135" s="646"/>
    </row>
    <row r="136" spans="1:12">
      <c r="D136" s="646"/>
    </row>
    <row r="137" spans="1:12">
      <c r="D137" s="646"/>
    </row>
    <row r="138" spans="1:12">
      <c r="D138" s="646"/>
    </row>
    <row r="139" spans="1:12">
      <c r="D139" s="646"/>
    </row>
    <row r="140" spans="1:12">
      <c r="D140" s="646"/>
      <c r="H140" s="704"/>
      <c r="I140" s="704"/>
      <c r="J140" s="704"/>
      <c r="K140" s="704"/>
    </row>
    <row r="141" spans="1:12">
      <c r="D141" s="646"/>
      <c r="H141" s="704"/>
      <c r="I141" s="704"/>
      <c r="J141" s="704"/>
      <c r="K141" s="704"/>
    </row>
    <row r="142" spans="1:12">
      <c r="D142" s="646"/>
      <c r="H142" s="705"/>
      <c r="I142" s="705"/>
      <c r="J142" s="705"/>
    </row>
    <row r="143" spans="1:12">
      <c r="D143" s="646"/>
    </row>
    <row r="144" spans="1:12">
      <c r="D144" s="646"/>
    </row>
    <row r="145" spans="4:4">
      <c r="D145" s="646"/>
    </row>
    <row r="146" spans="4:4">
      <c r="D146" s="646"/>
    </row>
  </sheetData>
  <mergeCells count="5">
    <mergeCell ref="A1:K2"/>
    <mergeCell ref="A4:A5"/>
    <mergeCell ref="B4:B5"/>
    <mergeCell ref="C4:G4"/>
    <mergeCell ref="H4:K4"/>
  </mergeCells>
  <pageMargins left="0.11811023622047245" right="0.11811023622047245" top="0.15748031496062992" bottom="0.15748031496062992" header="0.31496062992125984" footer="0.31496062992125984"/>
  <pageSetup paperSize="9" scale="48" fitToHeight="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F147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7" sqref="D77"/>
    </sheetView>
  </sheetViews>
  <sheetFormatPr defaultColWidth="8" defaultRowHeight="16.5"/>
  <cols>
    <col min="1" max="1" width="6" style="231" customWidth="1"/>
    <col min="2" max="2" width="57.5703125" style="601" customWidth="1"/>
    <col min="3" max="3" width="33.42578125" style="453" customWidth="1"/>
    <col min="4" max="4" width="18.5703125" style="233" customWidth="1"/>
    <col min="5" max="5" width="15.7109375" style="234" customWidth="1"/>
    <col min="6" max="6" width="16" style="234" customWidth="1"/>
    <col min="7" max="7" width="13.42578125" style="235" customWidth="1"/>
    <col min="8" max="8" width="17.42578125" style="234" customWidth="1"/>
    <col min="9" max="9" width="16.85546875" style="234" customWidth="1"/>
    <col min="10" max="10" width="17.140625" style="234" customWidth="1"/>
    <col min="11" max="11" width="13" style="234" customWidth="1"/>
    <col min="12" max="12" width="17.42578125" style="714" customWidth="1"/>
    <col min="13" max="13" width="11.42578125" style="234" bestFit="1" customWidth="1"/>
    <col min="14" max="14" width="14" style="234" bestFit="1" customWidth="1"/>
    <col min="15" max="15" width="15.5703125" style="234" customWidth="1"/>
    <col min="16" max="84" width="8" style="234"/>
    <col min="85" max="16384" width="8" style="230"/>
  </cols>
  <sheetData>
    <row r="1" spans="1:84">
      <c r="A1" s="837" t="s">
        <v>351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</row>
    <row r="2" spans="1:84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</row>
    <row r="3" spans="1:84" ht="32.25" customHeight="1"/>
    <row r="4" spans="1:84" s="232" customFormat="1" ht="45.75" customHeight="1">
      <c r="A4" s="843" t="s">
        <v>0</v>
      </c>
      <c r="B4" s="845" t="s">
        <v>1</v>
      </c>
      <c r="C4" s="846" t="s">
        <v>244</v>
      </c>
      <c r="D4" s="846"/>
      <c r="E4" s="846"/>
      <c r="F4" s="846"/>
      <c r="G4" s="846"/>
      <c r="H4" s="829" t="s">
        <v>245</v>
      </c>
      <c r="I4" s="829"/>
      <c r="J4" s="829"/>
      <c r="K4" s="829"/>
      <c r="L4" s="714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</row>
    <row r="5" spans="1:84" s="232" customFormat="1" ht="78.75">
      <c r="A5" s="844"/>
      <c r="B5" s="845"/>
      <c r="C5" s="653" t="s">
        <v>2</v>
      </c>
      <c r="D5" s="613" t="s">
        <v>349</v>
      </c>
      <c r="E5" s="653" t="s">
        <v>247</v>
      </c>
      <c r="F5" s="614" t="s">
        <v>350</v>
      </c>
      <c r="G5" s="654" t="s">
        <v>249</v>
      </c>
      <c r="H5" s="737" t="s">
        <v>349</v>
      </c>
      <c r="I5" s="737" t="s">
        <v>247</v>
      </c>
      <c r="J5" s="614" t="s">
        <v>350</v>
      </c>
      <c r="K5" s="738" t="s">
        <v>249</v>
      </c>
      <c r="L5" s="714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</row>
    <row r="6" spans="1:84" s="232" customFormat="1" ht="15">
      <c r="A6" s="240">
        <v>1</v>
      </c>
      <c r="B6" s="597">
        <v>2</v>
      </c>
      <c r="C6" s="455">
        <v>3</v>
      </c>
      <c r="D6" s="241">
        <v>4</v>
      </c>
      <c r="E6" s="241">
        <v>5</v>
      </c>
      <c r="F6" s="240">
        <v>6</v>
      </c>
      <c r="G6" s="241">
        <v>7</v>
      </c>
      <c r="H6" s="241">
        <v>8</v>
      </c>
      <c r="I6" s="240">
        <v>9</v>
      </c>
      <c r="J6" s="240">
        <v>10</v>
      </c>
      <c r="K6" s="240">
        <v>11</v>
      </c>
      <c r="L6" s="714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</row>
    <row r="7" spans="1:84" s="247" customFormat="1" ht="40.5" hidden="1">
      <c r="A7" s="242" t="s">
        <v>250</v>
      </c>
      <c r="B7" s="598" t="s">
        <v>251</v>
      </c>
      <c r="C7" s="456">
        <f>C8+C17</f>
        <v>0</v>
      </c>
      <c r="D7" s="245">
        <f>D8+D17</f>
        <v>215819</v>
      </c>
      <c r="E7" s="245">
        <f>E8+E17</f>
        <v>212823</v>
      </c>
      <c r="F7" s="245">
        <f>F8+F17</f>
        <v>215081.5</v>
      </c>
      <c r="G7" s="246">
        <f t="shared" ref="G7" si="0">G8</f>
        <v>100</v>
      </c>
      <c r="H7" s="245">
        <f>H8+H17</f>
        <v>236352</v>
      </c>
      <c r="I7" s="245">
        <f>I8+I17</f>
        <v>238912</v>
      </c>
      <c r="J7" s="245">
        <f>J8+J17</f>
        <v>231038</v>
      </c>
      <c r="K7" s="435">
        <f>J7/I7*100</f>
        <v>96.704225823734262</v>
      </c>
      <c r="L7" s="715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</row>
    <row r="8" spans="1:84" s="256" customFormat="1" ht="18.75" hidden="1">
      <c r="A8" s="248"/>
      <c r="B8" s="594" t="s">
        <v>319</v>
      </c>
      <c r="C8" s="54"/>
      <c r="D8" s="507">
        <f>D9+D126</f>
        <v>178151</v>
      </c>
      <c r="E8" s="507">
        <f>E9+E126</f>
        <v>175155</v>
      </c>
      <c r="F8" s="507">
        <f>F9+F126</f>
        <v>175155</v>
      </c>
      <c r="G8" s="508">
        <f>F8/E8*100</f>
        <v>100</v>
      </c>
      <c r="H8" s="509">
        <f>H9+H16</f>
        <v>71376</v>
      </c>
      <c r="I8" s="509">
        <f>I9+I16</f>
        <v>72779</v>
      </c>
      <c r="J8" s="509">
        <f>J9+J16</f>
        <v>69683</v>
      </c>
      <c r="K8" s="521">
        <f>J8/I8*100</f>
        <v>95.746025639264076</v>
      </c>
      <c r="L8" s="716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</row>
    <row r="9" spans="1:84" s="262" customFormat="1" ht="47.25" hidden="1">
      <c r="A9" s="248"/>
      <c r="B9" s="204" t="s">
        <v>254</v>
      </c>
      <c r="C9" s="522" t="s">
        <v>5</v>
      </c>
      <c r="D9" s="510">
        <f>SUM(D10:D15)</f>
        <v>178151</v>
      </c>
      <c r="E9" s="510">
        <f t="shared" ref="E9:F9" si="1">SUM(E10:E15)</f>
        <v>175155</v>
      </c>
      <c r="F9" s="510">
        <f t="shared" si="1"/>
        <v>175155</v>
      </c>
      <c r="G9" s="508">
        <f t="shared" ref="G9:G15" si="2">F9/E9*100</f>
        <v>100</v>
      </c>
      <c r="H9" s="511">
        <f>SUM(H10:H15)</f>
        <v>71066</v>
      </c>
      <c r="I9" s="511">
        <f>SUM(I10:I15)</f>
        <v>71328</v>
      </c>
      <c r="J9" s="511">
        <f>SUM(J10:J15)</f>
        <v>69683</v>
      </c>
      <c r="K9" s="523">
        <f t="shared" ref="K9:K52" si="3">J9/I9*100</f>
        <v>97.693752803947959</v>
      </c>
      <c r="L9" s="717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</row>
    <row r="10" spans="1:84" s="262" customFormat="1" ht="15.75" hidden="1">
      <c r="A10" s="248"/>
      <c r="B10" s="6" t="s">
        <v>154</v>
      </c>
      <c r="C10" s="437" t="s">
        <v>5</v>
      </c>
      <c r="D10" s="512">
        <v>23592</v>
      </c>
      <c r="E10" s="513">
        <v>22827</v>
      </c>
      <c r="F10" s="513">
        <v>22827</v>
      </c>
      <c r="G10" s="514">
        <f t="shared" si="2"/>
        <v>100</v>
      </c>
      <c r="H10" s="515">
        <v>13566</v>
      </c>
      <c r="I10" s="515">
        <v>14840</v>
      </c>
      <c r="J10" s="515">
        <v>14497</v>
      </c>
      <c r="K10" s="214">
        <f t="shared" si="3"/>
        <v>97.688679245283012</v>
      </c>
      <c r="L10" s="714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</row>
    <row r="11" spans="1:84" s="270" customFormat="1" ht="15.75" hidden="1">
      <c r="A11" s="248"/>
      <c r="B11" s="6" t="s">
        <v>155</v>
      </c>
      <c r="C11" s="437" t="s">
        <v>5</v>
      </c>
      <c r="D11" s="512">
        <v>22582</v>
      </c>
      <c r="E11" s="513">
        <v>21569</v>
      </c>
      <c r="F11" s="513">
        <v>21569</v>
      </c>
      <c r="G11" s="514">
        <f t="shared" si="2"/>
        <v>100</v>
      </c>
      <c r="H11" s="515">
        <v>14181</v>
      </c>
      <c r="I11" s="515">
        <v>13859</v>
      </c>
      <c r="J11" s="515">
        <v>13540</v>
      </c>
      <c r="K11" s="214">
        <f t="shared" si="3"/>
        <v>97.698246626740755</v>
      </c>
      <c r="L11" s="713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</row>
    <row r="12" spans="1:84" s="256" customFormat="1" ht="15.75" hidden="1">
      <c r="A12" s="263"/>
      <c r="B12" s="6" t="s">
        <v>255</v>
      </c>
      <c r="C12" s="437" t="s">
        <v>5</v>
      </c>
      <c r="D12" s="512">
        <v>12056</v>
      </c>
      <c r="E12" s="513">
        <v>11612</v>
      </c>
      <c r="F12" s="513">
        <v>11612</v>
      </c>
      <c r="G12" s="514">
        <f t="shared" si="2"/>
        <v>100</v>
      </c>
      <c r="H12" s="515">
        <v>11798</v>
      </c>
      <c r="I12" s="515">
        <v>11426</v>
      </c>
      <c r="J12" s="515">
        <v>11162</v>
      </c>
      <c r="K12" s="214">
        <f t="shared" si="3"/>
        <v>97.689480133029932</v>
      </c>
      <c r="L12" s="716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</row>
    <row r="13" spans="1:84" s="270" customFormat="1" ht="15.75" hidden="1">
      <c r="A13" s="248"/>
      <c r="B13" s="6" t="s">
        <v>158</v>
      </c>
      <c r="C13" s="437" t="s">
        <v>5</v>
      </c>
      <c r="D13" s="512">
        <v>6240</v>
      </c>
      <c r="E13" s="513">
        <v>5989</v>
      </c>
      <c r="F13" s="513">
        <v>5989</v>
      </c>
      <c r="G13" s="514">
        <f t="shared" si="2"/>
        <v>100</v>
      </c>
      <c r="H13" s="515">
        <v>6753</v>
      </c>
      <c r="I13" s="515">
        <v>6390</v>
      </c>
      <c r="J13" s="515">
        <v>6243</v>
      </c>
      <c r="K13" s="214">
        <f t="shared" si="3"/>
        <v>97.699530516431921</v>
      </c>
      <c r="L13" s="713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</row>
    <row r="14" spans="1:84" s="270" customFormat="1" ht="15.75" hidden="1">
      <c r="A14" s="263"/>
      <c r="B14" s="6" t="s">
        <v>157</v>
      </c>
      <c r="C14" s="437" t="s">
        <v>5</v>
      </c>
      <c r="D14" s="512">
        <v>49616</v>
      </c>
      <c r="E14" s="513">
        <v>48429</v>
      </c>
      <c r="F14" s="513">
        <v>48429</v>
      </c>
      <c r="G14" s="514">
        <f t="shared" si="2"/>
        <v>100</v>
      </c>
      <c r="H14" s="515">
        <v>14193</v>
      </c>
      <c r="I14" s="515">
        <v>14200</v>
      </c>
      <c r="J14" s="515">
        <v>13873</v>
      </c>
      <c r="K14" s="214">
        <f t="shared" si="3"/>
        <v>97.697183098591552</v>
      </c>
      <c r="L14" s="713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</row>
    <row r="15" spans="1:84" s="270" customFormat="1" ht="15.75" hidden="1">
      <c r="A15" s="263"/>
      <c r="B15" s="6" t="s">
        <v>159</v>
      </c>
      <c r="C15" s="437" t="s">
        <v>5</v>
      </c>
      <c r="D15" s="512">
        <v>64065</v>
      </c>
      <c r="E15" s="513">
        <v>64729</v>
      </c>
      <c r="F15" s="513">
        <v>64729</v>
      </c>
      <c r="G15" s="514">
        <f t="shared" si="2"/>
        <v>100</v>
      </c>
      <c r="H15" s="515">
        <v>10575</v>
      </c>
      <c r="I15" s="515">
        <v>10613</v>
      </c>
      <c r="J15" s="515">
        <v>10368</v>
      </c>
      <c r="K15" s="214">
        <f t="shared" si="3"/>
        <v>97.691510411759168</v>
      </c>
      <c r="L15" s="713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</row>
    <row r="16" spans="1:84" s="273" customFormat="1" ht="75" hidden="1">
      <c r="A16" s="263"/>
      <c r="B16" s="595" t="s">
        <v>262</v>
      </c>
      <c r="C16" s="437"/>
      <c r="D16" s="512"/>
      <c r="E16" s="513"/>
      <c r="F16" s="513"/>
      <c r="G16" s="514"/>
      <c r="H16" s="515">
        <f>71376.1-71066-0.1</f>
        <v>310.0000000000058</v>
      </c>
      <c r="I16" s="515">
        <f>72779.6-71328-0.6</f>
        <v>1451.0000000000059</v>
      </c>
      <c r="J16" s="515"/>
      <c r="K16" s="214">
        <f t="shared" si="3"/>
        <v>0</v>
      </c>
      <c r="L16" s="713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</row>
    <row r="17" spans="1:84" s="247" customFormat="1" ht="18.75" hidden="1">
      <c r="A17" s="248"/>
      <c r="B17" s="594" t="s">
        <v>160</v>
      </c>
      <c r="C17" s="525"/>
      <c r="D17" s="516">
        <f>D18+D19+D20+D23+D22+D21</f>
        <v>37668</v>
      </c>
      <c r="E17" s="516">
        <f t="shared" ref="E17:F17" si="4">E18+E19+E20+E23+E22+E21</f>
        <v>37668</v>
      </c>
      <c r="F17" s="516">
        <f t="shared" si="4"/>
        <v>39926.5</v>
      </c>
      <c r="G17" s="508">
        <f t="shared" ref="G17:G52" si="5">F17/E17*100</f>
        <v>105.99580545821388</v>
      </c>
      <c r="H17" s="511">
        <f>SUM(H18:H23)</f>
        <v>164976</v>
      </c>
      <c r="I17" s="511">
        <f>SUM(I18:I23)</f>
        <v>166133</v>
      </c>
      <c r="J17" s="511">
        <f>SUM(J18:J23)</f>
        <v>161355</v>
      </c>
      <c r="K17" s="523">
        <f>J17/I17*100</f>
        <v>97.123991019243618</v>
      </c>
      <c r="L17" s="714"/>
      <c r="M17" s="439"/>
      <c r="N17" s="440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</row>
    <row r="18" spans="1:84" s="247" customFormat="1" ht="32.25" hidden="1">
      <c r="A18" s="79" t="s">
        <v>4</v>
      </c>
      <c r="B18" s="80" t="s">
        <v>161</v>
      </c>
      <c r="C18" s="526" t="s">
        <v>162</v>
      </c>
      <c r="D18" s="118">
        <v>15</v>
      </c>
      <c r="E18" s="118">
        <v>15</v>
      </c>
      <c r="F18" s="118">
        <v>40</v>
      </c>
      <c r="G18" s="508">
        <f t="shared" si="5"/>
        <v>266.66666666666663</v>
      </c>
      <c r="H18" s="517">
        <v>12300</v>
      </c>
      <c r="I18" s="517">
        <f>12673.1-0.1</f>
        <v>12673</v>
      </c>
      <c r="J18" s="517">
        <f>12343.9+0.1</f>
        <v>12344</v>
      </c>
      <c r="K18" s="523">
        <f t="shared" si="3"/>
        <v>97.403929614140296</v>
      </c>
      <c r="L18" s="714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</row>
    <row r="19" spans="1:84" s="247" customFormat="1" ht="32.25" hidden="1">
      <c r="A19" s="82" t="s">
        <v>6</v>
      </c>
      <c r="B19" s="83" t="s">
        <v>164</v>
      </c>
      <c r="C19" s="526" t="s">
        <v>165</v>
      </c>
      <c r="D19" s="118">
        <v>37600</v>
      </c>
      <c r="E19" s="118">
        <v>37600</v>
      </c>
      <c r="F19" s="118">
        <v>39812</v>
      </c>
      <c r="G19" s="508">
        <f t="shared" si="5"/>
        <v>105.88297872340426</v>
      </c>
      <c r="H19" s="517">
        <v>48349</v>
      </c>
      <c r="I19" s="517">
        <f>47169.2-0.2</f>
        <v>47169</v>
      </c>
      <c r="J19" s="517">
        <f>45944.2-0.2</f>
        <v>45944</v>
      </c>
      <c r="K19" s="523">
        <f t="shared" si="3"/>
        <v>97.402955330831688</v>
      </c>
      <c r="L19" s="714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</row>
    <row r="20" spans="1:84" s="247" customFormat="1" ht="32.25" hidden="1">
      <c r="A20" s="79" t="s">
        <v>8</v>
      </c>
      <c r="B20" s="84" t="s">
        <v>166</v>
      </c>
      <c r="C20" s="526" t="s">
        <v>167</v>
      </c>
      <c r="D20" s="118">
        <v>23</v>
      </c>
      <c r="E20" s="118">
        <v>23</v>
      </c>
      <c r="F20" s="118">
        <v>24.5</v>
      </c>
      <c r="G20" s="508">
        <f t="shared" si="5"/>
        <v>106.5217391304348</v>
      </c>
      <c r="H20" s="517">
        <v>95783</v>
      </c>
      <c r="I20" s="517">
        <f>101696.9+0.1</f>
        <v>101697</v>
      </c>
      <c r="J20" s="517">
        <f>99056.4-0.4</f>
        <v>99056</v>
      </c>
      <c r="K20" s="523">
        <f t="shared" si="3"/>
        <v>97.403069903733638</v>
      </c>
      <c r="L20" s="714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</row>
    <row r="21" spans="1:84" s="247" customFormat="1" ht="63.75" hidden="1">
      <c r="A21" s="79" t="s">
        <v>18</v>
      </c>
      <c r="B21" s="84" t="s">
        <v>168</v>
      </c>
      <c r="C21" s="526" t="s">
        <v>185</v>
      </c>
      <c r="D21" s="118">
        <v>20</v>
      </c>
      <c r="E21" s="118">
        <v>20</v>
      </c>
      <c r="F21" s="118">
        <v>22</v>
      </c>
      <c r="G21" s="508">
        <f t="shared" si="5"/>
        <v>110.00000000000001</v>
      </c>
      <c r="H21" s="517">
        <v>2692</v>
      </c>
      <c r="I21" s="517">
        <f>4117.7/30*20-0.1</f>
        <v>2745.0333333333333</v>
      </c>
      <c r="J21" s="517">
        <f>2673.7+0.3</f>
        <v>2674</v>
      </c>
      <c r="K21" s="523">
        <f t="shared" si="3"/>
        <v>97.412296146980609</v>
      </c>
      <c r="L21" s="714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</row>
    <row r="22" spans="1:84" s="247" customFormat="1" ht="63.75" hidden="1">
      <c r="A22" s="79" t="s">
        <v>21</v>
      </c>
      <c r="B22" s="84" t="s">
        <v>168</v>
      </c>
      <c r="C22" s="526" t="s">
        <v>186</v>
      </c>
      <c r="D22" s="118">
        <v>10</v>
      </c>
      <c r="E22" s="118">
        <v>10</v>
      </c>
      <c r="F22" s="118">
        <v>28</v>
      </c>
      <c r="G22" s="508">
        <f t="shared" si="5"/>
        <v>280</v>
      </c>
      <c r="H22" s="517">
        <f>4038-2692</f>
        <v>1346</v>
      </c>
      <c r="I22" s="517">
        <f>4117.7/30*10+0.4</f>
        <v>1372.9666666666667</v>
      </c>
      <c r="J22" s="517">
        <f>1337.3-0.3</f>
        <v>1337</v>
      </c>
      <c r="K22" s="523">
        <f t="shared" si="3"/>
        <v>97.380368544999868</v>
      </c>
      <c r="L22" s="714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</row>
    <row r="23" spans="1:84" s="247" customFormat="1" ht="75" hidden="1">
      <c r="A23" s="279"/>
      <c r="B23" s="595" t="s">
        <v>262</v>
      </c>
      <c r="C23" s="527"/>
      <c r="D23" s="518"/>
      <c r="E23" s="518"/>
      <c r="F23" s="518"/>
      <c r="G23" s="519"/>
      <c r="H23" s="520">
        <f>164975.6-160470+0.4</f>
        <v>4506.0000000000055</v>
      </c>
      <c r="I23" s="520">
        <f>475.7+0.3</f>
        <v>476</v>
      </c>
      <c r="J23" s="520"/>
      <c r="K23" s="523"/>
      <c r="L23" s="714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</row>
    <row r="24" spans="1:84" s="291" customFormat="1" ht="60.75" hidden="1">
      <c r="A24" s="420" t="s">
        <v>95</v>
      </c>
      <c r="B24" s="602" t="s">
        <v>259</v>
      </c>
      <c r="C24" s="458"/>
      <c r="D24" s="288">
        <f>D25+D32</f>
        <v>35346</v>
      </c>
      <c r="E24" s="288">
        <f t="shared" ref="E24:F24" si="6">E25+E32</f>
        <v>36733</v>
      </c>
      <c r="F24" s="288">
        <f t="shared" si="6"/>
        <v>36974</v>
      </c>
      <c r="G24" s="289">
        <f t="shared" si="5"/>
        <v>100.65608580840117</v>
      </c>
      <c r="H24" s="288">
        <f>H25+H32</f>
        <v>150845</v>
      </c>
      <c r="I24" s="288">
        <f t="shared" ref="I24:J24" si="7">I25+I32</f>
        <v>153702</v>
      </c>
      <c r="J24" s="288">
        <f t="shared" si="7"/>
        <v>149489</v>
      </c>
      <c r="K24" s="289">
        <f t="shared" si="3"/>
        <v>97.258981665820869</v>
      </c>
      <c r="L24" s="716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</row>
    <row r="25" spans="1:84" s="298" customFormat="1" ht="18.75" hidden="1">
      <c r="A25" s="292" t="s">
        <v>97</v>
      </c>
      <c r="B25" s="596" t="s">
        <v>34</v>
      </c>
      <c r="C25" s="459"/>
      <c r="D25" s="442">
        <f>D26</f>
        <v>35346</v>
      </c>
      <c r="E25" s="442">
        <f t="shared" ref="E25:F25" si="8">E26</f>
        <v>35346</v>
      </c>
      <c r="F25" s="442">
        <f t="shared" si="8"/>
        <v>35346</v>
      </c>
      <c r="G25" s="443">
        <f t="shared" si="5"/>
        <v>100</v>
      </c>
      <c r="H25" s="442">
        <f>H26</f>
        <v>1650</v>
      </c>
      <c r="I25" s="442">
        <f t="shared" ref="I25:J25" si="9">I26</f>
        <v>1650</v>
      </c>
      <c r="J25" s="442">
        <f t="shared" si="9"/>
        <v>1650</v>
      </c>
      <c r="K25" s="443">
        <f t="shared" si="3"/>
        <v>100</v>
      </c>
      <c r="L25" s="716"/>
    </row>
    <row r="26" spans="1:84" s="298" customFormat="1" ht="31.5" hidden="1">
      <c r="A26" s="292"/>
      <c r="B26" s="444" t="s">
        <v>10</v>
      </c>
      <c r="C26" s="131"/>
      <c r="D26" s="132">
        <f>SUM(D27:D31)</f>
        <v>35346</v>
      </c>
      <c r="E26" s="132">
        <f>SUM(E27:E31)</f>
        <v>35346</v>
      </c>
      <c r="F26" s="132">
        <f>SUM(F27:F31)</f>
        <v>35346</v>
      </c>
      <c r="G26" s="445">
        <f t="shared" si="5"/>
        <v>100</v>
      </c>
      <c r="H26" s="132">
        <f t="shared" ref="H26:I26" si="10">SUM(H27:H31)</f>
        <v>1650</v>
      </c>
      <c r="I26" s="132">
        <f t="shared" si="10"/>
        <v>1650</v>
      </c>
      <c r="J26" s="132">
        <f>SUM(J27:J31)</f>
        <v>1650</v>
      </c>
      <c r="K26" s="445">
        <f t="shared" si="3"/>
        <v>100</v>
      </c>
      <c r="L26" s="716"/>
    </row>
    <row r="27" spans="1:84" s="308" customFormat="1" ht="31.5" hidden="1">
      <c r="A27" s="301"/>
      <c r="B27" s="446" t="s">
        <v>11</v>
      </c>
      <c r="C27" s="528" t="s">
        <v>320</v>
      </c>
      <c r="D27" s="134">
        <v>1278</v>
      </c>
      <c r="E27" s="134">
        <v>1278</v>
      </c>
      <c r="F27" s="134">
        <v>1278</v>
      </c>
      <c r="G27" s="447">
        <f>F27/E27*100</f>
        <v>100</v>
      </c>
      <c r="H27" s="448">
        <v>129</v>
      </c>
      <c r="I27" s="448">
        <v>129</v>
      </c>
      <c r="J27" s="448">
        <v>129</v>
      </c>
      <c r="K27" s="447">
        <f>J27/I27*100</f>
        <v>100</v>
      </c>
      <c r="L27" s="713"/>
    </row>
    <row r="28" spans="1:84" s="309" customFormat="1" ht="31.5" hidden="1">
      <c r="A28" s="301"/>
      <c r="B28" s="446" t="s">
        <v>13</v>
      </c>
      <c r="C28" s="528" t="s">
        <v>320</v>
      </c>
      <c r="D28" s="134">
        <v>5337</v>
      </c>
      <c r="E28" s="134">
        <v>5337</v>
      </c>
      <c r="F28" s="134">
        <v>5337</v>
      </c>
      <c r="G28" s="447">
        <f t="shared" si="5"/>
        <v>100</v>
      </c>
      <c r="H28" s="449">
        <v>334</v>
      </c>
      <c r="I28" s="449">
        <v>334</v>
      </c>
      <c r="J28" s="449">
        <v>334</v>
      </c>
      <c r="K28" s="447">
        <f t="shared" si="3"/>
        <v>100</v>
      </c>
      <c r="L28" s="714"/>
    </row>
    <row r="29" spans="1:84" s="309" customFormat="1" ht="31.5" hidden="1">
      <c r="A29" s="301"/>
      <c r="B29" s="446" t="s">
        <v>15</v>
      </c>
      <c r="C29" s="528" t="s">
        <v>320</v>
      </c>
      <c r="D29" s="134">
        <v>8769</v>
      </c>
      <c r="E29" s="134">
        <v>8769</v>
      </c>
      <c r="F29" s="134">
        <v>8769</v>
      </c>
      <c r="G29" s="447">
        <f t="shared" si="5"/>
        <v>100</v>
      </c>
      <c r="H29" s="449">
        <v>337</v>
      </c>
      <c r="I29" s="449">
        <v>337</v>
      </c>
      <c r="J29" s="449">
        <v>337</v>
      </c>
      <c r="K29" s="447">
        <f t="shared" si="3"/>
        <v>100</v>
      </c>
      <c r="L29" s="714"/>
    </row>
    <row r="30" spans="1:84" s="309" customFormat="1" ht="31.5" hidden="1">
      <c r="A30" s="301"/>
      <c r="B30" s="446" t="s">
        <v>17</v>
      </c>
      <c r="C30" s="528" t="s">
        <v>320</v>
      </c>
      <c r="D30" s="134">
        <v>12642</v>
      </c>
      <c r="E30" s="134">
        <v>12642</v>
      </c>
      <c r="F30" s="134">
        <v>12642</v>
      </c>
      <c r="G30" s="447">
        <f t="shared" si="5"/>
        <v>100</v>
      </c>
      <c r="H30" s="449">
        <v>506</v>
      </c>
      <c r="I30" s="449">
        <v>506</v>
      </c>
      <c r="J30" s="449">
        <v>506</v>
      </c>
      <c r="K30" s="447">
        <f t="shared" si="3"/>
        <v>100</v>
      </c>
      <c r="L30" s="714"/>
    </row>
    <row r="31" spans="1:84" s="309" customFormat="1" ht="31.5" hidden="1">
      <c r="A31" s="301"/>
      <c r="B31" s="446" t="s">
        <v>23</v>
      </c>
      <c r="C31" s="528" t="s">
        <v>320</v>
      </c>
      <c r="D31" s="134">
        <v>7320</v>
      </c>
      <c r="E31" s="134">
        <v>7320</v>
      </c>
      <c r="F31" s="134">
        <v>7320</v>
      </c>
      <c r="G31" s="447">
        <f>F31/E31*100</f>
        <v>100</v>
      </c>
      <c r="H31" s="449">
        <v>344</v>
      </c>
      <c r="I31" s="449">
        <v>344</v>
      </c>
      <c r="J31" s="449">
        <v>344</v>
      </c>
      <c r="K31" s="447">
        <f>J31/I31*100</f>
        <v>100</v>
      </c>
      <c r="L31" s="714"/>
    </row>
    <row r="32" spans="1:84" s="298" customFormat="1" ht="18.75" hidden="1">
      <c r="A32" s="292" t="s">
        <v>99</v>
      </c>
      <c r="B32" s="596" t="s">
        <v>39</v>
      </c>
      <c r="C32" s="441"/>
      <c r="D32" s="421">
        <f>D33+D42+D48+D49+D50+D51+D52+D53</f>
        <v>0</v>
      </c>
      <c r="E32" s="421">
        <f t="shared" ref="E32:F32" si="11">E33+E42+E48+E49+E50+E51+E52+E53</f>
        <v>1387</v>
      </c>
      <c r="F32" s="421">
        <f t="shared" si="11"/>
        <v>1628</v>
      </c>
      <c r="G32" s="443">
        <f t="shared" si="5"/>
        <v>117.37563085796683</v>
      </c>
      <c r="H32" s="421">
        <f>H33+H42+H48+H49+H50+H51+H52+H53</f>
        <v>149195</v>
      </c>
      <c r="I32" s="421">
        <f t="shared" ref="I32:J32" si="12">I33+I42+I48+I49+I50+I51+I52+I53</f>
        <v>152052</v>
      </c>
      <c r="J32" s="421">
        <f t="shared" si="12"/>
        <v>147839</v>
      </c>
      <c r="K32" s="443">
        <f t="shared" si="3"/>
        <v>97.229237366164213</v>
      </c>
      <c r="L32" s="716"/>
    </row>
    <row r="33" spans="1:12" s="298" customFormat="1" ht="63" hidden="1">
      <c r="A33" s="292"/>
      <c r="B33" s="444" t="s">
        <v>42</v>
      </c>
      <c r="C33" s="528" t="s">
        <v>321</v>
      </c>
      <c r="D33" s="132">
        <f>SUM(D34:D41)</f>
        <v>0</v>
      </c>
      <c r="E33" s="132">
        <f>SUM(E34:E41)</f>
        <v>750</v>
      </c>
      <c r="F33" s="132">
        <f>SUM(F34:F41)</f>
        <v>921</v>
      </c>
      <c r="G33" s="445">
        <f t="shared" si="5"/>
        <v>122.8</v>
      </c>
      <c r="H33" s="132">
        <f>SUM(H34:H41)</f>
        <v>0</v>
      </c>
      <c r="I33" s="132">
        <f>SUM(I34:I41)</f>
        <v>104270</v>
      </c>
      <c r="J33" s="132">
        <f>SUM(J34:J41)</f>
        <v>101119</v>
      </c>
      <c r="K33" s="445">
        <f t="shared" si="3"/>
        <v>96.978037786515785</v>
      </c>
      <c r="L33" s="716"/>
    </row>
    <row r="34" spans="1:12" s="298" customFormat="1" ht="63" hidden="1">
      <c r="A34" s="292"/>
      <c r="B34" s="446" t="s">
        <v>43</v>
      </c>
      <c r="C34" s="528" t="s">
        <v>321</v>
      </c>
      <c r="D34" s="450"/>
      <c r="E34" s="134">
        <f>167+42</f>
        <v>209</v>
      </c>
      <c r="F34" s="134">
        <f>219+49</f>
        <v>268</v>
      </c>
      <c r="G34" s="445">
        <f t="shared" si="5"/>
        <v>128.22966507177034</v>
      </c>
      <c r="H34" s="451"/>
      <c r="I34" s="451">
        <v>28472</v>
      </c>
      <c r="J34" s="451">
        <v>26381</v>
      </c>
      <c r="K34" s="445">
        <f t="shared" si="3"/>
        <v>92.655942680528241</v>
      </c>
      <c r="L34" s="716"/>
    </row>
    <row r="35" spans="1:12" s="298" customFormat="1" ht="63" hidden="1">
      <c r="A35" s="292"/>
      <c r="B35" s="446" t="s">
        <v>45</v>
      </c>
      <c r="C35" s="528" t="s">
        <v>321</v>
      </c>
      <c r="D35" s="450"/>
      <c r="E35" s="134">
        <f>140+72</f>
        <v>212</v>
      </c>
      <c r="F35" s="134">
        <f>150+89</f>
        <v>239</v>
      </c>
      <c r="G35" s="445">
        <f t="shared" si="5"/>
        <v>112.73584905660377</v>
      </c>
      <c r="H35" s="451"/>
      <c r="I35" s="451">
        <v>27050</v>
      </c>
      <c r="J35" s="451">
        <v>25990</v>
      </c>
      <c r="K35" s="445">
        <f t="shared" si="3"/>
        <v>96.081330868761555</v>
      </c>
      <c r="L35" s="716"/>
    </row>
    <row r="36" spans="1:12" s="298" customFormat="1" ht="63" hidden="1">
      <c r="A36" s="292"/>
      <c r="B36" s="446" t="s">
        <v>46</v>
      </c>
      <c r="C36" s="528" t="s">
        <v>321</v>
      </c>
      <c r="D36" s="450"/>
      <c r="E36" s="134">
        <f>32+48</f>
        <v>80</v>
      </c>
      <c r="F36" s="134">
        <f>39+61</f>
        <v>100</v>
      </c>
      <c r="G36" s="445">
        <f t="shared" si="5"/>
        <v>125</v>
      </c>
      <c r="H36" s="451"/>
      <c r="I36" s="451">
        <v>11032</v>
      </c>
      <c r="J36" s="451">
        <v>11032</v>
      </c>
      <c r="K36" s="445">
        <f t="shared" si="3"/>
        <v>100</v>
      </c>
      <c r="L36" s="716"/>
    </row>
    <row r="37" spans="1:12" s="298" customFormat="1" ht="63" hidden="1">
      <c r="A37" s="292"/>
      <c r="B37" s="446" t="s">
        <v>48</v>
      </c>
      <c r="C37" s="528" t="s">
        <v>321</v>
      </c>
      <c r="D37" s="450"/>
      <c r="E37" s="134">
        <f>80+12</f>
        <v>92</v>
      </c>
      <c r="F37" s="134">
        <f>80+16</f>
        <v>96</v>
      </c>
      <c r="G37" s="445">
        <f t="shared" si="5"/>
        <v>104.34782608695652</v>
      </c>
      <c r="H37" s="451"/>
      <c r="I37" s="451">
        <v>12580</v>
      </c>
      <c r="J37" s="451">
        <v>12580</v>
      </c>
      <c r="K37" s="445">
        <f t="shared" si="3"/>
        <v>100</v>
      </c>
      <c r="L37" s="716"/>
    </row>
    <row r="38" spans="1:12" s="298" customFormat="1" ht="63" hidden="1">
      <c r="A38" s="292"/>
      <c r="B38" s="446" t="s">
        <v>49</v>
      </c>
      <c r="C38" s="528" t="s">
        <v>321</v>
      </c>
      <c r="D38" s="450"/>
      <c r="E38" s="134">
        <f>20+27</f>
        <v>47</v>
      </c>
      <c r="F38" s="134">
        <f>32+27</f>
        <v>59</v>
      </c>
      <c r="G38" s="445">
        <f t="shared" si="5"/>
        <v>125.53191489361701</v>
      </c>
      <c r="H38" s="451"/>
      <c r="I38" s="451">
        <v>9237</v>
      </c>
      <c r="J38" s="451">
        <v>9237</v>
      </c>
      <c r="K38" s="445">
        <f t="shared" si="3"/>
        <v>100</v>
      </c>
      <c r="L38" s="716"/>
    </row>
    <row r="39" spans="1:12" s="298" customFormat="1" ht="63" hidden="1">
      <c r="A39" s="292"/>
      <c r="B39" s="446" t="s">
        <v>50</v>
      </c>
      <c r="C39" s="528" t="s">
        <v>321</v>
      </c>
      <c r="D39" s="450"/>
      <c r="E39" s="134">
        <f>42+30</f>
        <v>72</v>
      </c>
      <c r="F39" s="134">
        <f>76+41</f>
        <v>117</v>
      </c>
      <c r="G39" s="445">
        <f t="shared" si="5"/>
        <v>162.5</v>
      </c>
      <c r="H39" s="451"/>
      <c r="I39" s="451">
        <v>11204</v>
      </c>
      <c r="J39" s="451">
        <v>11204</v>
      </c>
      <c r="K39" s="445">
        <f t="shared" si="3"/>
        <v>100</v>
      </c>
      <c r="L39" s="716"/>
    </row>
    <row r="40" spans="1:12" s="298" customFormat="1" ht="63" hidden="1">
      <c r="A40" s="292"/>
      <c r="B40" s="446" t="s">
        <v>51</v>
      </c>
      <c r="C40" s="528" t="s">
        <v>321</v>
      </c>
      <c r="D40" s="450"/>
      <c r="E40" s="134">
        <v>28</v>
      </c>
      <c r="F40" s="134">
        <v>30</v>
      </c>
      <c r="G40" s="445">
        <f t="shared" si="5"/>
        <v>107.14285714285714</v>
      </c>
      <c r="H40" s="451"/>
      <c r="I40" s="451">
        <v>3024</v>
      </c>
      <c r="J40" s="451">
        <v>3024</v>
      </c>
      <c r="K40" s="445">
        <f t="shared" si="3"/>
        <v>100</v>
      </c>
      <c r="L40" s="716"/>
    </row>
    <row r="41" spans="1:12" s="298" customFormat="1" ht="63" hidden="1">
      <c r="A41" s="292"/>
      <c r="B41" s="446" t="s">
        <v>190</v>
      </c>
      <c r="C41" s="528" t="s">
        <v>321</v>
      </c>
      <c r="D41" s="450"/>
      <c r="E41" s="134">
        <v>10</v>
      </c>
      <c r="F41" s="134">
        <v>12</v>
      </c>
      <c r="G41" s="445">
        <f t="shared" si="5"/>
        <v>120</v>
      </c>
      <c r="H41" s="451"/>
      <c r="I41" s="451">
        <v>1671</v>
      </c>
      <c r="J41" s="451">
        <v>1671</v>
      </c>
      <c r="K41" s="445">
        <f t="shared" si="3"/>
        <v>100</v>
      </c>
      <c r="L41" s="716"/>
    </row>
    <row r="42" spans="1:12" s="298" customFormat="1" ht="63" hidden="1">
      <c r="A42" s="292"/>
      <c r="B42" s="444" t="s">
        <v>52</v>
      </c>
      <c r="C42" s="528" t="s">
        <v>321</v>
      </c>
      <c r="D42" s="132">
        <f>SUM(D43:D47)</f>
        <v>0</v>
      </c>
      <c r="E42" s="132">
        <f>SUM(E43:E47)</f>
        <v>230</v>
      </c>
      <c r="F42" s="132">
        <f>SUM(F43:F47)</f>
        <v>297</v>
      </c>
      <c r="G42" s="445">
        <f t="shared" si="5"/>
        <v>129.13043478260872</v>
      </c>
      <c r="H42" s="132">
        <f>SUM(H43:H47)</f>
        <v>0</v>
      </c>
      <c r="I42" s="132">
        <f>SUM(I43:I47)</f>
        <v>39867</v>
      </c>
      <c r="J42" s="132">
        <f>SUM(J43:J47)</f>
        <v>38805</v>
      </c>
      <c r="K42" s="445">
        <f t="shared" si="3"/>
        <v>97.336142674392363</v>
      </c>
      <c r="L42" s="716"/>
    </row>
    <row r="43" spans="1:12" s="298" customFormat="1" ht="63" hidden="1">
      <c r="A43" s="292"/>
      <c r="B43" s="446" t="s">
        <v>53</v>
      </c>
      <c r="C43" s="528" t="s">
        <v>321</v>
      </c>
      <c r="D43" s="450"/>
      <c r="E43" s="134">
        <f>100+42+4</f>
        <v>146</v>
      </c>
      <c r="F43" s="134">
        <f>112+66+5</f>
        <v>183</v>
      </c>
      <c r="G43" s="445">
        <f t="shared" si="5"/>
        <v>125.34246575342465</v>
      </c>
      <c r="H43" s="451"/>
      <c r="I43" s="451">
        <v>22128</v>
      </c>
      <c r="J43" s="451">
        <v>21066</v>
      </c>
      <c r="K43" s="445">
        <f t="shared" si="3"/>
        <v>95.200650759219087</v>
      </c>
      <c r="L43" s="716"/>
    </row>
    <row r="44" spans="1:12" s="298" customFormat="1" ht="63" hidden="1">
      <c r="A44" s="292"/>
      <c r="B44" s="446" t="s">
        <v>54</v>
      </c>
      <c r="C44" s="528" t="s">
        <v>321</v>
      </c>
      <c r="D44" s="450"/>
      <c r="E44" s="134">
        <f>10+14</f>
        <v>24</v>
      </c>
      <c r="F44" s="134">
        <f>11+20</f>
        <v>31</v>
      </c>
      <c r="G44" s="445">
        <f t="shared" si="5"/>
        <v>129.16666666666669</v>
      </c>
      <c r="H44" s="451"/>
      <c r="I44" s="451">
        <v>6082</v>
      </c>
      <c r="J44" s="451">
        <v>6082</v>
      </c>
      <c r="K44" s="445">
        <f t="shared" si="3"/>
        <v>100</v>
      </c>
      <c r="L44" s="716"/>
    </row>
    <row r="45" spans="1:12" s="298" customFormat="1" ht="63" hidden="1">
      <c r="A45" s="292"/>
      <c r="B45" s="446" t="s">
        <v>55</v>
      </c>
      <c r="C45" s="528" t="s">
        <v>321</v>
      </c>
      <c r="D45" s="450"/>
      <c r="E45" s="134">
        <f>26+6</f>
        <v>32</v>
      </c>
      <c r="F45" s="134">
        <f>34+6</f>
        <v>40</v>
      </c>
      <c r="G45" s="445">
        <f t="shared" si="5"/>
        <v>125</v>
      </c>
      <c r="H45" s="451"/>
      <c r="I45" s="451">
        <v>5690</v>
      </c>
      <c r="J45" s="451">
        <v>5690</v>
      </c>
      <c r="K45" s="445">
        <f t="shared" si="3"/>
        <v>100</v>
      </c>
      <c r="L45" s="716"/>
    </row>
    <row r="46" spans="1:12" s="298" customFormat="1" ht="63" hidden="1">
      <c r="A46" s="292"/>
      <c r="B46" s="446" t="s">
        <v>56</v>
      </c>
      <c r="C46" s="528" t="s">
        <v>321</v>
      </c>
      <c r="D46" s="450"/>
      <c r="E46" s="134">
        <v>24</v>
      </c>
      <c r="F46" s="134">
        <v>39</v>
      </c>
      <c r="G46" s="445">
        <f t="shared" si="5"/>
        <v>162.5</v>
      </c>
      <c r="H46" s="451"/>
      <c r="I46" s="451">
        <v>1989</v>
      </c>
      <c r="J46" s="451">
        <v>1989</v>
      </c>
      <c r="K46" s="445">
        <f t="shared" si="3"/>
        <v>100</v>
      </c>
      <c r="L46" s="716"/>
    </row>
    <row r="47" spans="1:12" s="298" customFormat="1" ht="63" hidden="1">
      <c r="A47" s="292"/>
      <c r="B47" s="446" t="s">
        <v>199</v>
      </c>
      <c r="C47" s="528" t="s">
        <v>321</v>
      </c>
      <c r="D47" s="450"/>
      <c r="E47" s="134">
        <v>4</v>
      </c>
      <c r="F47" s="134">
        <v>4</v>
      </c>
      <c r="G47" s="445">
        <f t="shared" si="5"/>
        <v>100</v>
      </c>
      <c r="H47" s="451"/>
      <c r="I47" s="451">
        <v>3978</v>
      </c>
      <c r="J47" s="451">
        <v>3978</v>
      </c>
      <c r="K47" s="445">
        <f t="shared" si="3"/>
        <v>100</v>
      </c>
      <c r="L47" s="716"/>
    </row>
    <row r="48" spans="1:12" s="298" customFormat="1" ht="47.25" hidden="1">
      <c r="A48" s="292"/>
      <c r="B48" s="2" t="s">
        <v>19</v>
      </c>
      <c r="C48" s="136" t="s">
        <v>323</v>
      </c>
      <c r="D48" s="442"/>
      <c r="E48" s="132">
        <v>54</v>
      </c>
      <c r="F48" s="132">
        <v>54</v>
      </c>
      <c r="G48" s="445">
        <f t="shared" si="5"/>
        <v>100</v>
      </c>
      <c r="H48" s="451"/>
      <c r="I48" s="451">
        <v>2374</v>
      </c>
      <c r="J48" s="451">
        <v>2374</v>
      </c>
      <c r="K48" s="445">
        <f t="shared" si="3"/>
        <v>100</v>
      </c>
      <c r="L48" s="716"/>
    </row>
    <row r="49" spans="1:84" s="298" customFormat="1" ht="31.5" hidden="1">
      <c r="A49" s="292"/>
      <c r="B49" s="2" t="s">
        <v>22</v>
      </c>
      <c r="C49" s="136" t="s">
        <v>323</v>
      </c>
      <c r="D49" s="442"/>
      <c r="E49" s="132">
        <v>9</v>
      </c>
      <c r="F49" s="132">
        <v>9</v>
      </c>
      <c r="G49" s="445">
        <f t="shared" si="5"/>
        <v>100</v>
      </c>
      <c r="H49" s="451"/>
      <c r="I49" s="451">
        <v>1583</v>
      </c>
      <c r="J49" s="451">
        <v>1583</v>
      </c>
      <c r="K49" s="445">
        <f t="shared" si="3"/>
        <v>100</v>
      </c>
      <c r="L49" s="716"/>
    </row>
    <row r="50" spans="1:84" s="298" customFormat="1" ht="63" hidden="1">
      <c r="A50" s="292"/>
      <c r="B50" s="2" t="s">
        <v>40</v>
      </c>
      <c r="C50" s="136" t="s">
        <v>324</v>
      </c>
      <c r="D50" s="442"/>
      <c r="E50" s="132">
        <v>231</v>
      </c>
      <c r="F50" s="132">
        <v>231</v>
      </c>
      <c r="G50" s="445">
        <f t="shared" si="5"/>
        <v>100</v>
      </c>
      <c r="H50" s="451"/>
      <c r="I50" s="451">
        <v>792</v>
      </c>
      <c r="J50" s="451">
        <v>792</v>
      </c>
      <c r="K50" s="445">
        <f t="shared" si="3"/>
        <v>100</v>
      </c>
      <c r="L50" s="716"/>
    </row>
    <row r="51" spans="1:84" s="298" customFormat="1" ht="78.75" hidden="1">
      <c r="A51" s="292"/>
      <c r="B51" s="2" t="s">
        <v>37</v>
      </c>
      <c r="C51" s="136" t="s">
        <v>323</v>
      </c>
      <c r="D51" s="442"/>
      <c r="E51" s="132">
        <v>3</v>
      </c>
      <c r="F51" s="132">
        <v>6</v>
      </c>
      <c r="G51" s="445">
        <f t="shared" si="5"/>
        <v>200</v>
      </c>
      <c r="H51" s="451"/>
      <c r="I51" s="451">
        <v>1979</v>
      </c>
      <c r="J51" s="451">
        <v>1979</v>
      </c>
      <c r="K51" s="445">
        <f t="shared" si="3"/>
        <v>100</v>
      </c>
      <c r="L51" s="716"/>
    </row>
    <row r="52" spans="1:84" s="298" customFormat="1" ht="31.5" hidden="1">
      <c r="A52" s="292"/>
      <c r="B52" s="2" t="s">
        <v>38</v>
      </c>
      <c r="C52" s="136" t="s">
        <v>323</v>
      </c>
      <c r="D52" s="442"/>
      <c r="E52" s="132">
        <v>110</v>
      </c>
      <c r="F52" s="132">
        <v>110</v>
      </c>
      <c r="G52" s="445">
        <f t="shared" si="5"/>
        <v>100</v>
      </c>
      <c r="H52" s="451"/>
      <c r="I52" s="451">
        <v>1187</v>
      </c>
      <c r="J52" s="451">
        <v>1187</v>
      </c>
      <c r="K52" s="445">
        <f t="shared" si="3"/>
        <v>100</v>
      </c>
      <c r="L52" s="716"/>
    </row>
    <row r="53" spans="1:84" s="298" customFormat="1" ht="75" hidden="1">
      <c r="A53" s="248"/>
      <c r="B53" s="595" t="s">
        <v>262</v>
      </c>
      <c r="C53" s="205"/>
      <c r="D53" s="592"/>
      <c r="E53" s="516"/>
      <c r="F53" s="516"/>
      <c r="G53" s="508"/>
      <c r="H53" s="592">
        <f>149834-639</f>
        <v>149195</v>
      </c>
      <c r="I53" s="517"/>
      <c r="J53" s="517"/>
      <c r="K53" s="593"/>
      <c r="L53" s="716"/>
    </row>
    <row r="54" spans="1:84" s="318" customFormat="1" ht="60.75" hidden="1">
      <c r="A54" s="138" t="s">
        <v>264</v>
      </c>
      <c r="B54" s="598" t="s">
        <v>265</v>
      </c>
      <c r="C54" s="458"/>
      <c r="D54" s="315">
        <f t="shared" ref="D54:F54" si="13">D55</f>
        <v>59160</v>
      </c>
      <c r="E54" s="316">
        <f t="shared" si="13"/>
        <v>59160</v>
      </c>
      <c r="F54" s="316">
        <f t="shared" si="13"/>
        <v>59280</v>
      </c>
      <c r="G54" s="317">
        <f>F54/E54*100</f>
        <v>100.2028397565923</v>
      </c>
      <c r="H54" s="290">
        <f>H55+H57</f>
        <v>11822</v>
      </c>
      <c r="I54" s="290">
        <f t="shared" ref="I54:J54" si="14">I55</f>
        <v>11809</v>
      </c>
      <c r="J54" s="290">
        <f t="shared" si="14"/>
        <v>11809</v>
      </c>
      <c r="K54" s="289">
        <f t="shared" ref="K54:K56" si="15">J54/I54*100</f>
        <v>100</v>
      </c>
      <c r="L54" s="714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</row>
    <row r="55" spans="1:84" s="247" customFormat="1" ht="18.75" hidden="1">
      <c r="A55" s="248"/>
      <c r="B55" s="594" t="s">
        <v>169</v>
      </c>
      <c r="C55" s="457"/>
      <c r="D55" s="319">
        <f>D56</f>
        <v>59160</v>
      </c>
      <c r="E55" s="275">
        <f>E56</f>
        <v>59160</v>
      </c>
      <c r="F55" s="275">
        <f>F56</f>
        <v>59280</v>
      </c>
      <c r="G55" s="253">
        <f>F55/E55*100</f>
        <v>100.2028397565923</v>
      </c>
      <c r="H55" s="320">
        <f>H56</f>
        <v>11561</v>
      </c>
      <c r="I55" s="320">
        <f>I56</f>
        <v>11809</v>
      </c>
      <c r="J55" s="320">
        <f>J56</f>
        <v>11809</v>
      </c>
      <c r="K55" s="261">
        <f t="shared" si="15"/>
        <v>100</v>
      </c>
      <c r="L55" s="714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</row>
    <row r="56" spans="1:84" s="247" customFormat="1" ht="18.75" hidden="1">
      <c r="A56" s="321"/>
      <c r="B56" s="322" t="s">
        <v>170</v>
      </c>
      <c r="C56" s="525" t="s">
        <v>266</v>
      </c>
      <c r="D56" s="324">
        <v>59160</v>
      </c>
      <c r="E56" s="325">
        <v>59160</v>
      </c>
      <c r="F56" s="325">
        <v>59280</v>
      </c>
      <c r="G56" s="326">
        <f>F56/E56*100</f>
        <v>100.2028397565923</v>
      </c>
      <c r="H56" s="320">
        <v>11561</v>
      </c>
      <c r="I56" s="320">
        <v>11809</v>
      </c>
      <c r="J56" s="320">
        <v>11809</v>
      </c>
      <c r="K56" s="327">
        <f t="shared" si="15"/>
        <v>100</v>
      </c>
      <c r="L56" s="714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</row>
    <row r="57" spans="1:84" s="247" customFormat="1" ht="75" hidden="1">
      <c r="A57" s="321"/>
      <c r="B57" s="595" t="s">
        <v>262</v>
      </c>
      <c r="C57" s="525"/>
      <c r="D57" s="324"/>
      <c r="E57" s="325"/>
      <c r="F57" s="325"/>
      <c r="G57" s="326"/>
      <c r="H57" s="320">
        <f>11822-11561</f>
        <v>261</v>
      </c>
      <c r="I57" s="320"/>
      <c r="J57" s="320"/>
      <c r="K57" s="327"/>
      <c r="L57" s="714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407"/>
      <c r="AU57" s="407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7"/>
      <c r="BM57" s="407"/>
      <c r="BN57" s="407"/>
      <c r="BO57" s="407"/>
      <c r="BP57" s="407"/>
      <c r="BQ57" s="407"/>
      <c r="BR57" s="407"/>
      <c r="BS57" s="407"/>
      <c r="BT57" s="407"/>
      <c r="BU57" s="407"/>
      <c r="BV57" s="407"/>
      <c r="BW57" s="407"/>
      <c r="BX57" s="407"/>
      <c r="BY57" s="407"/>
      <c r="BZ57" s="407"/>
      <c r="CA57" s="407"/>
      <c r="CB57" s="407"/>
      <c r="CC57" s="407"/>
      <c r="CD57" s="407"/>
      <c r="CE57" s="407"/>
      <c r="CF57" s="407"/>
    </row>
    <row r="58" spans="1:84" s="336" customFormat="1" ht="60.75">
      <c r="A58" s="138" t="s">
        <v>267</v>
      </c>
      <c r="B58" s="603" t="s">
        <v>272</v>
      </c>
      <c r="C58" s="314"/>
      <c r="D58" s="722">
        <f>D59+D103+D113+D119+D126+D127</f>
        <v>21678</v>
      </c>
      <c r="E58" s="290">
        <f t="shared" ref="E58:F58" si="16">E59+E103+E113+E119+E126+E127</f>
        <v>22788</v>
      </c>
      <c r="F58" s="290">
        <f t="shared" si="16"/>
        <v>22814</v>
      </c>
      <c r="G58" s="334">
        <f>F58/E58*100</f>
        <v>100.11409513779182</v>
      </c>
      <c r="H58" s="290">
        <f>H59+H103+H113+H119+H126+H127</f>
        <v>1550860</v>
      </c>
      <c r="I58" s="290">
        <f>I59+I103+I113+I119+I126+I127</f>
        <v>1648051</v>
      </c>
      <c r="J58" s="290">
        <f t="shared" ref="J58" si="17">J59+J103+J113+J119+J126+J127</f>
        <v>1639588</v>
      </c>
      <c r="K58" s="335">
        <f t="shared" ref="K58:K105" si="18">J58/I58*100</f>
        <v>99.486484338166719</v>
      </c>
      <c r="L58" s="716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</row>
    <row r="59" spans="1:84" s="247" customFormat="1" ht="18.75">
      <c r="A59" s="727"/>
      <c r="B59" s="728" t="s">
        <v>273</v>
      </c>
      <c r="C59" s="729"/>
      <c r="D59" s="730">
        <f>D60+D71+D65+D78+D99+D101+D77</f>
        <v>15417</v>
      </c>
      <c r="E59" s="731">
        <f>E60+E71+E65+E78+E99+E101+E77</f>
        <v>16612</v>
      </c>
      <c r="F59" s="731">
        <f t="shared" ref="F59:H59" si="19">F60+F71+F65+F78+F99+F101+F77</f>
        <v>16652</v>
      </c>
      <c r="G59" s="730">
        <f t="shared" si="19"/>
        <v>906.82079707360219</v>
      </c>
      <c r="H59" s="742">
        <f t="shared" si="19"/>
        <v>811030</v>
      </c>
      <c r="I59" s="742">
        <f>I60+I71+I65+I78+I99+I101+I77</f>
        <v>837784</v>
      </c>
      <c r="J59" s="742">
        <f>J60+J71+J65+J78+J99+J101+J77</f>
        <v>829967</v>
      </c>
      <c r="K59" s="743">
        <f>J59/I59*100</f>
        <v>99.066943269386854</v>
      </c>
      <c r="L59" s="718"/>
      <c r="M59" s="736"/>
      <c r="N59" s="413"/>
      <c r="O59" s="413"/>
      <c r="P59" s="413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</row>
    <row r="60" spans="1:84" s="352" customFormat="1" ht="32.25">
      <c r="A60" s="342"/>
      <c r="B60" s="204" t="s">
        <v>125</v>
      </c>
      <c r="C60" s="222" t="s">
        <v>61</v>
      </c>
      <c r="D60" s="723">
        <f>SUM(D61:D64)</f>
        <v>2322</v>
      </c>
      <c r="E60" s="732">
        <f t="shared" ref="E60:F60" si="20">SUM(E61:E64)</f>
        <v>2295</v>
      </c>
      <c r="F60" s="732">
        <f t="shared" si="20"/>
        <v>2295</v>
      </c>
      <c r="G60" s="257">
        <f>F60/E60*100</f>
        <v>100</v>
      </c>
      <c r="H60" s="344">
        <f>SUM(H61:H64)</f>
        <v>259097</v>
      </c>
      <c r="I60" s="344">
        <f t="shared" ref="I60:J60" si="21">SUM(I61:I64)</f>
        <v>264539</v>
      </c>
      <c r="J60" s="344">
        <f t="shared" si="21"/>
        <v>264492</v>
      </c>
      <c r="K60" s="257">
        <f>J60/I60*100</f>
        <v>99.982233243491507</v>
      </c>
      <c r="L60" s="716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</row>
    <row r="61" spans="1:84" s="352" customFormat="1" ht="48">
      <c r="A61" s="348"/>
      <c r="B61" s="6" t="s">
        <v>334</v>
      </c>
      <c r="C61" s="136" t="s">
        <v>61</v>
      </c>
      <c r="D61" s="726">
        <v>125</v>
      </c>
      <c r="E61" s="733">
        <v>129</v>
      </c>
      <c r="F61" s="733">
        <v>129</v>
      </c>
      <c r="G61" s="264">
        <f t="shared" ref="G61:G106" si="22">F61/E61*100</f>
        <v>100</v>
      </c>
      <c r="H61" s="266">
        <v>18130</v>
      </c>
      <c r="I61" s="266">
        <v>20430</v>
      </c>
      <c r="J61" s="266">
        <v>20428</v>
      </c>
      <c r="K61" s="32">
        <f t="shared" si="18"/>
        <v>99.990210474791979</v>
      </c>
      <c r="L61" s="714">
        <v>1</v>
      </c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1"/>
      <c r="CD61" s="411"/>
      <c r="CE61" s="411"/>
      <c r="CF61" s="411"/>
    </row>
    <row r="62" spans="1:84" s="247" customFormat="1" ht="63.75">
      <c r="A62" s="348"/>
      <c r="B62" s="6" t="s">
        <v>335</v>
      </c>
      <c r="C62" s="136" t="s">
        <v>61</v>
      </c>
      <c r="D62" s="726">
        <v>2</v>
      </c>
      <c r="E62" s="733">
        <v>2</v>
      </c>
      <c r="F62" s="733">
        <v>2</v>
      </c>
      <c r="G62" s="264">
        <f t="shared" si="22"/>
        <v>100</v>
      </c>
      <c r="H62" s="266">
        <v>1556</v>
      </c>
      <c r="I62" s="266">
        <v>1671</v>
      </c>
      <c r="J62" s="266">
        <v>1671</v>
      </c>
      <c r="K62" s="32">
        <f t="shared" si="18"/>
        <v>100</v>
      </c>
      <c r="L62" s="714">
        <v>3</v>
      </c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</row>
    <row r="63" spans="1:84" s="247" customFormat="1" ht="18.75">
      <c r="A63" s="348"/>
      <c r="B63" s="6" t="s">
        <v>128</v>
      </c>
      <c r="C63" s="136" t="s">
        <v>61</v>
      </c>
      <c r="D63" s="726">
        <v>2194</v>
      </c>
      <c r="E63" s="733">
        <v>2161</v>
      </c>
      <c r="F63" s="733">
        <v>2161</v>
      </c>
      <c r="G63" s="264">
        <f t="shared" si="22"/>
        <v>100</v>
      </c>
      <c r="H63" s="642">
        <f>238634-1</f>
        <v>238633</v>
      </c>
      <c r="I63" s="266">
        <v>239931</v>
      </c>
      <c r="J63" s="266">
        <f>239888-2</f>
        <v>239886</v>
      </c>
      <c r="K63" s="32">
        <f t="shared" si="18"/>
        <v>99.981244607824749</v>
      </c>
      <c r="L63" s="714">
        <v>7</v>
      </c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</row>
    <row r="64" spans="1:84" s="352" customFormat="1" ht="32.25">
      <c r="A64" s="348"/>
      <c r="B64" s="6" t="s">
        <v>129</v>
      </c>
      <c r="C64" s="136" t="s">
        <v>61</v>
      </c>
      <c r="D64" s="726">
        <v>1</v>
      </c>
      <c r="E64" s="733">
        <v>3</v>
      </c>
      <c r="F64" s="733">
        <v>3</v>
      </c>
      <c r="G64" s="264">
        <f t="shared" si="22"/>
        <v>100</v>
      </c>
      <c r="H64" s="642">
        <v>778</v>
      </c>
      <c r="I64" s="266">
        <v>2507</v>
      </c>
      <c r="J64" s="266">
        <v>2507</v>
      </c>
      <c r="K64" s="32">
        <f t="shared" si="18"/>
        <v>100</v>
      </c>
      <c r="L64" s="714">
        <v>9</v>
      </c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</row>
    <row r="65" spans="1:84" s="247" customFormat="1" ht="32.25">
      <c r="A65" s="348"/>
      <c r="B65" s="204" t="s">
        <v>130</v>
      </c>
      <c r="C65" s="212" t="s">
        <v>61</v>
      </c>
      <c r="D65" s="724">
        <f>SUM(D66:D70)</f>
        <v>2575</v>
      </c>
      <c r="E65" s="734">
        <f t="shared" ref="E65:F65" si="23">SUM(E66:E70)</f>
        <v>2567</v>
      </c>
      <c r="F65" s="734">
        <f t="shared" si="23"/>
        <v>2567</v>
      </c>
      <c r="G65" s="361">
        <f t="shared" si="22"/>
        <v>100</v>
      </c>
      <c r="H65" s="576">
        <f>SUM(H66:H70)</f>
        <v>325708</v>
      </c>
      <c r="I65" s="576">
        <f t="shared" ref="I65:J65" si="24">SUM(I66:I70)</f>
        <v>349601</v>
      </c>
      <c r="J65" s="576">
        <f t="shared" si="24"/>
        <v>349543</v>
      </c>
      <c r="K65" s="580">
        <f t="shared" si="18"/>
        <v>99.9834096584392</v>
      </c>
      <c r="L65" s="714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</row>
    <row r="66" spans="1:84" s="247" customFormat="1" ht="48">
      <c r="A66" s="348"/>
      <c r="B66" s="6" t="s">
        <v>336</v>
      </c>
      <c r="C66" s="136" t="s">
        <v>61</v>
      </c>
      <c r="D66" s="726">
        <v>156</v>
      </c>
      <c r="E66" s="733">
        <v>179</v>
      </c>
      <c r="F66" s="733">
        <v>179</v>
      </c>
      <c r="G66" s="264">
        <f t="shared" si="22"/>
        <v>100</v>
      </c>
      <c r="H66" s="266">
        <v>21629</v>
      </c>
      <c r="I66" s="266">
        <v>28688</v>
      </c>
      <c r="J66" s="266">
        <v>28685</v>
      </c>
      <c r="K66" s="32">
        <f t="shared" si="18"/>
        <v>99.98954266592304</v>
      </c>
      <c r="L66" s="714">
        <v>11</v>
      </c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</row>
    <row r="67" spans="1:84" s="247" customFormat="1" ht="63.75">
      <c r="A67" s="342"/>
      <c r="B67" s="6" t="s">
        <v>337</v>
      </c>
      <c r="C67" s="136" t="s">
        <v>61</v>
      </c>
      <c r="D67" s="725">
        <v>2</v>
      </c>
      <c r="E67" s="733">
        <v>5</v>
      </c>
      <c r="F67" s="733">
        <v>5</v>
      </c>
      <c r="G67" s="257">
        <f>F67/E67*100</f>
        <v>100</v>
      </c>
      <c r="H67" s="643">
        <v>1556</v>
      </c>
      <c r="I67" s="643">
        <v>4179</v>
      </c>
      <c r="J67" s="643">
        <v>4179</v>
      </c>
      <c r="K67" s="32">
        <f t="shared" si="18"/>
        <v>100</v>
      </c>
      <c r="L67" s="719">
        <v>13</v>
      </c>
      <c r="M67" s="413"/>
      <c r="N67" s="413"/>
      <c r="O67" s="413"/>
      <c r="P67" s="413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</row>
    <row r="68" spans="1:84" s="247" customFormat="1" ht="63.75">
      <c r="A68" s="348"/>
      <c r="B68" s="6" t="s">
        <v>338</v>
      </c>
      <c r="C68" s="136" t="s">
        <v>61</v>
      </c>
      <c r="D68" s="726">
        <v>340</v>
      </c>
      <c r="E68" s="733">
        <v>322</v>
      </c>
      <c r="F68" s="733">
        <v>322</v>
      </c>
      <c r="G68" s="264">
        <f t="shared" si="22"/>
        <v>100</v>
      </c>
      <c r="H68" s="266">
        <v>45491</v>
      </c>
      <c r="I68" s="266">
        <v>46169</v>
      </c>
      <c r="J68" s="266">
        <v>46150</v>
      </c>
      <c r="K68" s="32">
        <f t="shared" si="18"/>
        <v>99.958846845285791</v>
      </c>
      <c r="L68" s="719">
        <v>15</v>
      </c>
      <c r="M68" s="413"/>
      <c r="N68" s="413"/>
      <c r="O68" s="413"/>
      <c r="P68" s="413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</row>
    <row r="69" spans="1:84" s="247" customFormat="1" ht="18.75">
      <c r="A69" s="348"/>
      <c r="B69" s="6" t="s">
        <v>134</v>
      </c>
      <c r="C69" s="136" t="s">
        <v>61</v>
      </c>
      <c r="D69" s="726">
        <v>2073</v>
      </c>
      <c r="E69" s="733">
        <v>2056</v>
      </c>
      <c r="F69" s="733">
        <v>2056</v>
      </c>
      <c r="G69" s="264">
        <f t="shared" si="22"/>
        <v>100</v>
      </c>
      <c r="H69" s="266">
        <v>253921</v>
      </c>
      <c r="I69" s="266">
        <v>266385</v>
      </c>
      <c r="J69" s="266">
        <v>266349</v>
      </c>
      <c r="K69" s="32">
        <f>J69/I69*100</f>
        <v>99.98648572554761</v>
      </c>
      <c r="L69" s="714">
        <v>19</v>
      </c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</row>
    <row r="70" spans="1:84" s="352" customFormat="1" ht="32.25">
      <c r="A70" s="348"/>
      <c r="B70" s="6" t="s">
        <v>192</v>
      </c>
      <c r="C70" s="136" t="s">
        <v>61</v>
      </c>
      <c r="D70" s="726">
        <v>4</v>
      </c>
      <c r="E70" s="733">
        <v>5</v>
      </c>
      <c r="F70" s="733">
        <v>5</v>
      </c>
      <c r="G70" s="264">
        <f t="shared" si="22"/>
        <v>100</v>
      </c>
      <c r="H70" s="266">
        <v>3111</v>
      </c>
      <c r="I70" s="266">
        <v>4180</v>
      </c>
      <c r="J70" s="266">
        <v>4180</v>
      </c>
      <c r="K70" s="32">
        <f t="shared" si="18"/>
        <v>100</v>
      </c>
      <c r="L70" s="714">
        <v>21</v>
      </c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</row>
    <row r="71" spans="1:84" s="352" customFormat="1" ht="32.25">
      <c r="A71" s="356"/>
      <c r="B71" s="204" t="s">
        <v>136</v>
      </c>
      <c r="C71" s="205" t="s">
        <v>61</v>
      </c>
      <c r="D71" s="724">
        <f>SUM(D72:D76)</f>
        <v>500</v>
      </c>
      <c r="E71" s="734">
        <f t="shared" ref="E71:F71" si="25">SUM(E72:E77)</f>
        <v>488</v>
      </c>
      <c r="F71" s="734">
        <f t="shared" si="25"/>
        <v>488</v>
      </c>
      <c r="G71" s="361">
        <f t="shared" si="22"/>
        <v>100</v>
      </c>
      <c r="H71" s="576">
        <f>SUM(H72:H76)</f>
        <v>70495</v>
      </c>
      <c r="I71" s="576">
        <f>SUM(I72:I76)</f>
        <v>74448</v>
      </c>
      <c r="J71" s="576">
        <f>SUM(J72:J76)</f>
        <v>74435</v>
      </c>
      <c r="K71" s="580">
        <f t="shared" si="18"/>
        <v>99.982538147431768</v>
      </c>
      <c r="L71" s="716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1"/>
      <c r="CC71" s="411"/>
      <c r="CD71" s="411"/>
      <c r="CE71" s="411"/>
      <c r="CF71" s="411"/>
    </row>
    <row r="72" spans="1:84" s="247" customFormat="1" ht="48">
      <c r="A72" s="348"/>
      <c r="B72" s="6" t="s">
        <v>339</v>
      </c>
      <c r="C72" s="136" t="s">
        <v>61</v>
      </c>
      <c r="D72" s="726">
        <v>1</v>
      </c>
      <c r="E72" s="733">
        <v>1</v>
      </c>
      <c r="F72" s="733">
        <v>1</v>
      </c>
      <c r="G72" s="264"/>
      <c r="H72" s="642">
        <v>285</v>
      </c>
      <c r="I72" s="266">
        <v>313</v>
      </c>
      <c r="J72" s="266">
        <v>313</v>
      </c>
      <c r="K72" s="32">
        <f t="shared" si="18"/>
        <v>100</v>
      </c>
      <c r="L72" s="714">
        <v>23</v>
      </c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</row>
    <row r="73" spans="1:84" s="352" customFormat="1" ht="63.75">
      <c r="A73" s="348"/>
      <c r="B73" s="6" t="s">
        <v>340</v>
      </c>
      <c r="C73" s="136" t="s">
        <v>61</v>
      </c>
      <c r="D73" s="726">
        <v>1</v>
      </c>
      <c r="E73" s="733">
        <v>1</v>
      </c>
      <c r="F73" s="733">
        <v>1</v>
      </c>
      <c r="G73" s="264">
        <f t="shared" si="22"/>
        <v>100</v>
      </c>
      <c r="H73" s="642">
        <v>778</v>
      </c>
      <c r="I73" s="266">
        <v>836</v>
      </c>
      <c r="J73" s="266">
        <v>836</v>
      </c>
      <c r="K73" s="32">
        <f t="shared" si="18"/>
        <v>100</v>
      </c>
      <c r="L73" s="714">
        <v>25</v>
      </c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/>
      <c r="BX73" s="411"/>
      <c r="BY73" s="411"/>
      <c r="BZ73" s="411"/>
      <c r="CA73" s="411"/>
      <c r="CB73" s="411"/>
      <c r="CC73" s="411"/>
      <c r="CD73" s="411"/>
      <c r="CE73" s="411"/>
      <c r="CF73" s="411"/>
    </row>
    <row r="74" spans="1:84" s="247" customFormat="1" ht="63.75">
      <c r="A74" s="348"/>
      <c r="B74" s="6" t="s">
        <v>341</v>
      </c>
      <c r="C74" s="136" t="s">
        <v>61</v>
      </c>
      <c r="D74" s="726">
        <v>355</v>
      </c>
      <c r="E74" s="733">
        <v>380</v>
      </c>
      <c r="F74" s="733">
        <v>380</v>
      </c>
      <c r="G74" s="264">
        <f t="shared" si="22"/>
        <v>100</v>
      </c>
      <c r="H74" s="642">
        <v>50508</v>
      </c>
      <c r="I74" s="266">
        <v>57969</v>
      </c>
      <c r="J74" s="266">
        <v>57958</v>
      </c>
      <c r="K74" s="32">
        <f t="shared" si="18"/>
        <v>99.981024340595837</v>
      </c>
      <c r="L74" s="714">
        <v>27</v>
      </c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</row>
    <row r="75" spans="1:84" s="247" customFormat="1" ht="79.5">
      <c r="A75" s="348"/>
      <c r="B75" s="6" t="s">
        <v>342</v>
      </c>
      <c r="C75" s="136" t="s">
        <v>61</v>
      </c>
      <c r="D75" s="726"/>
      <c r="E75" s="733">
        <v>1</v>
      </c>
      <c r="F75" s="733">
        <v>1</v>
      </c>
      <c r="G75" s="264">
        <f t="shared" si="22"/>
        <v>100</v>
      </c>
      <c r="H75" s="642"/>
      <c r="I75" s="266">
        <v>836</v>
      </c>
      <c r="J75" s="266">
        <v>836</v>
      </c>
      <c r="K75" s="32">
        <f t="shared" si="18"/>
        <v>100</v>
      </c>
      <c r="L75" s="714">
        <v>29</v>
      </c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</row>
    <row r="76" spans="1:84" s="247" customFormat="1" ht="18.75">
      <c r="A76" s="348"/>
      <c r="B76" s="6" t="s">
        <v>141</v>
      </c>
      <c r="C76" s="136" t="s">
        <v>61</v>
      </c>
      <c r="D76" s="726">
        <v>143</v>
      </c>
      <c r="E76" s="733">
        <v>104</v>
      </c>
      <c r="F76" s="733">
        <v>104</v>
      </c>
      <c r="G76" s="264">
        <f t="shared" si="22"/>
        <v>100</v>
      </c>
      <c r="H76" s="642">
        <v>18924</v>
      </c>
      <c r="I76" s="642">
        <v>14494</v>
      </c>
      <c r="J76" s="642">
        <v>14492</v>
      </c>
      <c r="K76" s="32">
        <f t="shared" si="18"/>
        <v>99.98620118669794</v>
      </c>
      <c r="L76" s="719">
        <v>31</v>
      </c>
      <c r="M76" s="413"/>
      <c r="N76" s="413"/>
      <c r="O76" s="413"/>
      <c r="P76" s="413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</row>
    <row r="77" spans="1:84" s="247" customFormat="1" ht="95.25">
      <c r="A77" s="342"/>
      <c r="B77" s="6" t="s">
        <v>86</v>
      </c>
      <c r="C77" s="136" t="s">
        <v>333</v>
      </c>
      <c r="D77" s="723">
        <v>1</v>
      </c>
      <c r="E77" s="733">
        <v>1</v>
      </c>
      <c r="F77" s="733">
        <v>1</v>
      </c>
      <c r="G77" s="575">
        <f t="shared" ref="G77" si="26">G78+G79+G80+G81+G82</f>
        <v>405.94705308059213</v>
      </c>
      <c r="H77" s="575">
        <v>32</v>
      </c>
      <c r="I77" s="575">
        <v>34</v>
      </c>
      <c r="J77" s="575">
        <v>34</v>
      </c>
      <c r="K77" s="32">
        <f t="shared" si="18"/>
        <v>100</v>
      </c>
      <c r="L77" s="719"/>
      <c r="M77" s="413"/>
      <c r="N77" s="413"/>
      <c r="O77" s="413"/>
      <c r="P77" s="413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</row>
    <row r="78" spans="1:84" s="352" customFormat="1" ht="18.75">
      <c r="A78" s="356"/>
      <c r="B78" s="204" t="s">
        <v>64</v>
      </c>
      <c r="C78" s="205" t="s">
        <v>61</v>
      </c>
      <c r="D78" s="724">
        <f>D79+D83+D87+D91+D95</f>
        <v>4736</v>
      </c>
      <c r="E78" s="734">
        <f>E79+E83+E87+E91+E95</f>
        <v>4578</v>
      </c>
      <c r="F78" s="734">
        <f>F79+F83+F87+F91+F95</f>
        <v>4618</v>
      </c>
      <c r="G78" s="361">
        <f t="shared" si="22"/>
        <v>100.87374399301005</v>
      </c>
      <c r="H78" s="576">
        <f>H79+H83+H87+H91+H95</f>
        <v>146121</v>
      </c>
      <c r="I78" s="576">
        <f>I79+I83+I87+I91+I95</f>
        <v>135494</v>
      </c>
      <c r="J78" s="576">
        <f t="shared" ref="J78" si="27">J79+J83+J87+J91+J95</f>
        <v>127795</v>
      </c>
      <c r="K78" s="580">
        <f t="shared" si="18"/>
        <v>94.317829571789161</v>
      </c>
      <c r="L78" s="716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</row>
    <row r="79" spans="1:84" s="352" customFormat="1" ht="32.25">
      <c r="A79" s="348"/>
      <c r="B79" s="6" t="s">
        <v>66</v>
      </c>
      <c r="C79" s="136" t="s">
        <v>61</v>
      </c>
      <c r="D79" s="726">
        <f>SUM(D80:D82)</f>
        <v>1720</v>
      </c>
      <c r="E79" s="735">
        <f t="shared" ref="E79:F79" si="28">SUM(E80:E82)</f>
        <v>1710</v>
      </c>
      <c r="F79" s="735">
        <f t="shared" si="28"/>
        <v>1740</v>
      </c>
      <c r="G79" s="264">
        <f t="shared" si="22"/>
        <v>101.75438596491229</v>
      </c>
      <c r="H79" s="195">
        <f>SUM(H80:H82)</f>
        <v>89095</v>
      </c>
      <c r="I79" s="195">
        <f t="shared" ref="I79:J79" si="29">SUM(I80:I82)</f>
        <v>87171</v>
      </c>
      <c r="J79" s="195">
        <f t="shared" si="29"/>
        <v>82442</v>
      </c>
      <c r="K79" s="32">
        <f t="shared" si="18"/>
        <v>94.575030686810976</v>
      </c>
      <c r="L79" s="716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11"/>
    </row>
    <row r="80" spans="1:84" s="247" customFormat="1" ht="18.75">
      <c r="A80" s="348"/>
      <c r="B80" s="37" t="s">
        <v>67</v>
      </c>
      <c r="C80" s="136" t="s">
        <v>61</v>
      </c>
      <c r="D80" s="726">
        <v>769</v>
      </c>
      <c r="E80" s="733">
        <v>767</v>
      </c>
      <c r="F80" s="733">
        <v>779</v>
      </c>
      <c r="G80" s="264">
        <f t="shared" si="22"/>
        <v>101.56453715775751</v>
      </c>
      <c r="H80" s="266">
        <v>39834</v>
      </c>
      <c r="I80" s="266">
        <v>39120</v>
      </c>
      <c r="J80" s="266">
        <v>36930</v>
      </c>
      <c r="K80" s="32">
        <f t="shared" si="18"/>
        <v>94.401840490797554</v>
      </c>
      <c r="L80" s="714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</row>
    <row r="81" spans="1:84" s="247" customFormat="1" ht="18.75">
      <c r="A81" s="348"/>
      <c r="B81" s="37" t="s">
        <v>68</v>
      </c>
      <c r="C81" s="136" t="s">
        <v>61</v>
      </c>
      <c r="D81" s="726">
        <v>833</v>
      </c>
      <c r="E81" s="733">
        <v>829</v>
      </c>
      <c r="F81" s="733">
        <v>845</v>
      </c>
      <c r="G81" s="264">
        <v>0</v>
      </c>
      <c r="H81" s="642">
        <v>43149</v>
      </c>
      <c r="I81" s="642">
        <v>42257</v>
      </c>
      <c r="J81" s="642">
        <v>40026</v>
      </c>
      <c r="K81" s="32">
        <f t="shared" si="18"/>
        <v>94.720401353621881</v>
      </c>
      <c r="L81" s="714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</row>
    <row r="82" spans="1:84" s="352" customFormat="1" ht="18.75">
      <c r="A82" s="348"/>
      <c r="B82" s="37" t="s">
        <v>69</v>
      </c>
      <c r="C82" s="136" t="s">
        <v>61</v>
      </c>
      <c r="D82" s="726">
        <v>118</v>
      </c>
      <c r="E82" s="733">
        <v>114</v>
      </c>
      <c r="F82" s="733">
        <v>116</v>
      </c>
      <c r="G82" s="264">
        <f t="shared" si="22"/>
        <v>101.75438596491229</v>
      </c>
      <c r="H82" s="642">
        <v>6112</v>
      </c>
      <c r="I82" s="642">
        <v>5794</v>
      </c>
      <c r="J82" s="642">
        <v>5486</v>
      </c>
      <c r="K82" s="32">
        <f t="shared" si="18"/>
        <v>94.684156023472553</v>
      </c>
      <c r="L82" s="716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411"/>
      <c r="BW82" s="411"/>
      <c r="BX82" s="411"/>
      <c r="BY82" s="411"/>
      <c r="BZ82" s="411"/>
      <c r="CA82" s="411"/>
      <c r="CB82" s="411"/>
      <c r="CC82" s="411"/>
      <c r="CD82" s="411"/>
      <c r="CE82" s="411"/>
      <c r="CF82" s="411"/>
    </row>
    <row r="83" spans="1:84" s="247" customFormat="1" ht="48">
      <c r="A83" s="348"/>
      <c r="B83" s="6" t="s">
        <v>71</v>
      </c>
      <c r="C83" s="136" t="s">
        <v>61</v>
      </c>
      <c r="D83" s="726">
        <f>SUM(D84:D86)</f>
        <v>5</v>
      </c>
      <c r="E83" s="735">
        <f t="shared" ref="E83:F83" si="30">SUM(E84:E86)</f>
        <v>7</v>
      </c>
      <c r="F83" s="735">
        <f t="shared" si="30"/>
        <v>7</v>
      </c>
      <c r="G83" s="264">
        <f t="shared" si="22"/>
        <v>100</v>
      </c>
      <c r="H83" s="195">
        <f>SUM(H84:H86)</f>
        <v>130</v>
      </c>
      <c r="I83" s="195">
        <f t="shared" ref="I83:J83" si="31">SUM(I84:I86)</f>
        <v>173</v>
      </c>
      <c r="J83" s="195">
        <f t="shared" si="31"/>
        <v>161</v>
      </c>
      <c r="K83" s="32">
        <f t="shared" si="18"/>
        <v>93.063583815028906</v>
      </c>
      <c r="L83" s="714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</row>
    <row r="84" spans="1:84" s="247" customFormat="1" ht="18.75">
      <c r="A84" s="356"/>
      <c r="B84" s="37" t="s">
        <v>67</v>
      </c>
      <c r="C84" s="136" t="s">
        <v>61</v>
      </c>
      <c r="D84" s="725">
        <v>3</v>
      </c>
      <c r="E84" s="733">
        <v>3</v>
      </c>
      <c r="F84" s="733">
        <v>3</v>
      </c>
      <c r="G84" s="264">
        <f t="shared" si="22"/>
        <v>100</v>
      </c>
      <c r="H84" s="195">
        <v>78</v>
      </c>
      <c r="I84" s="195">
        <v>75</v>
      </c>
      <c r="J84" s="195">
        <v>70</v>
      </c>
      <c r="K84" s="32">
        <f t="shared" si="18"/>
        <v>93.333333333333329</v>
      </c>
      <c r="L84" s="714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</row>
    <row r="85" spans="1:84" s="247" customFormat="1" ht="18.75">
      <c r="A85" s="348"/>
      <c r="B85" s="37" t="s">
        <v>68</v>
      </c>
      <c r="C85" s="136" t="s">
        <v>61</v>
      </c>
      <c r="D85" s="726">
        <v>0</v>
      </c>
      <c r="E85" s="733">
        <v>3</v>
      </c>
      <c r="F85" s="733">
        <v>3</v>
      </c>
      <c r="G85" s="264">
        <f t="shared" si="22"/>
        <v>100</v>
      </c>
      <c r="H85" s="266">
        <v>0</v>
      </c>
      <c r="I85" s="266">
        <v>73</v>
      </c>
      <c r="J85" s="266">
        <v>68</v>
      </c>
      <c r="K85" s="32">
        <f t="shared" si="18"/>
        <v>93.150684931506845</v>
      </c>
      <c r="L85" s="719"/>
      <c r="M85" s="413"/>
      <c r="N85" s="413"/>
      <c r="O85" s="413"/>
      <c r="P85" s="413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</row>
    <row r="86" spans="1:84" s="247" customFormat="1" ht="18.75">
      <c r="A86" s="348"/>
      <c r="B86" s="37" t="s">
        <v>69</v>
      </c>
      <c r="C86" s="136" t="s">
        <v>61</v>
      </c>
      <c r="D86" s="726">
        <v>2</v>
      </c>
      <c r="E86" s="733">
        <v>1</v>
      </c>
      <c r="F86" s="733">
        <v>1</v>
      </c>
      <c r="G86" s="264">
        <f t="shared" si="22"/>
        <v>100</v>
      </c>
      <c r="H86" s="266">
        <v>52</v>
      </c>
      <c r="I86" s="266">
        <v>25</v>
      </c>
      <c r="J86" s="266">
        <v>23</v>
      </c>
      <c r="K86" s="32">
        <f t="shared" si="18"/>
        <v>92</v>
      </c>
      <c r="L86" s="719"/>
      <c r="M86" s="413"/>
      <c r="N86" s="413"/>
      <c r="O86" s="413"/>
      <c r="P86" s="413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</row>
    <row r="87" spans="1:84" s="247" customFormat="1" ht="63.75">
      <c r="A87" s="348"/>
      <c r="B87" s="6" t="s">
        <v>73</v>
      </c>
      <c r="C87" s="136" t="s">
        <v>61</v>
      </c>
      <c r="D87" s="726">
        <f>SUM(D88:D90)</f>
        <v>1409</v>
      </c>
      <c r="E87" s="735">
        <f t="shared" ref="E87:F87" si="32">SUM(E88:E90)</f>
        <v>1282</v>
      </c>
      <c r="F87" s="735">
        <f t="shared" si="32"/>
        <v>1305</v>
      </c>
      <c r="G87" s="264">
        <f t="shared" si="22"/>
        <v>101.79407176287052</v>
      </c>
      <c r="H87" s="266">
        <f>SUM(H88:H90)</f>
        <v>20535</v>
      </c>
      <c r="I87" s="266">
        <f t="shared" ref="I87:J87" si="33">SUM(I88:I90)</f>
        <v>17632</v>
      </c>
      <c r="J87" s="266">
        <f t="shared" si="33"/>
        <v>16823</v>
      </c>
      <c r="K87" s="32">
        <f t="shared" si="18"/>
        <v>95.411751361161521</v>
      </c>
      <c r="L87" s="714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</row>
    <row r="88" spans="1:84" s="352" customFormat="1" ht="18.75">
      <c r="A88" s="348"/>
      <c r="B88" s="37" t="s">
        <v>67</v>
      </c>
      <c r="C88" s="136" t="s">
        <v>61</v>
      </c>
      <c r="D88" s="726">
        <v>0</v>
      </c>
      <c r="E88" s="733">
        <v>0</v>
      </c>
      <c r="F88" s="733">
        <v>0</v>
      </c>
      <c r="G88" s="264" t="e">
        <f t="shared" si="22"/>
        <v>#DIV/0!</v>
      </c>
      <c r="H88" s="266">
        <v>0</v>
      </c>
      <c r="I88" s="266">
        <v>0</v>
      </c>
      <c r="J88" s="266"/>
      <c r="K88" s="32" t="e">
        <f t="shared" si="18"/>
        <v>#DIV/0!</v>
      </c>
      <c r="L88" s="716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</row>
    <row r="89" spans="1:84" s="247" customFormat="1" ht="18.75">
      <c r="A89" s="348"/>
      <c r="B89" s="37" t="s">
        <v>68</v>
      </c>
      <c r="C89" s="136" t="s">
        <v>61</v>
      </c>
      <c r="D89" s="726">
        <v>1245</v>
      </c>
      <c r="E89" s="733">
        <v>1125</v>
      </c>
      <c r="F89" s="733">
        <v>1143</v>
      </c>
      <c r="G89" s="264">
        <f t="shared" si="22"/>
        <v>101.6</v>
      </c>
      <c r="H89" s="642">
        <v>18145</v>
      </c>
      <c r="I89" s="642">
        <v>15443</v>
      </c>
      <c r="J89" s="642">
        <v>14728</v>
      </c>
      <c r="K89" s="32">
        <f t="shared" si="18"/>
        <v>95.370070582140769</v>
      </c>
      <c r="L89" s="714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</row>
    <row r="90" spans="1:84" s="247" customFormat="1" ht="18.75">
      <c r="A90" s="348"/>
      <c r="B90" s="37" t="s">
        <v>69</v>
      </c>
      <c r="C90" s="136" t="s">
        <v>61</v>
      </c>
      <c r="D90" s="726">
        <v>164</v>
      </c>
      <c r="E90" s="733">
        <v>157</v>
      </c>
      <c r="F90" s="733">
        <v>162</v>
      </c>
      <c r="G90" s="264">
        <v>0</v>
      </c>
      <c r="H90" s="642">
        <v>2390</v>
      </c>
      <c r="I90" s="266">
        <v>2189</v>
      </c>
      <c r="J90" s="266">
        <v>2095</v>
      </c>
      <c r="K90" s="32">
        <f t="shared" si="18"/>
        <v>95.705801735952491</v>
      </c>
      <c r="L90" s="714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</row>
    <row r="91" spans="1:84" s="352" customFormat="1" ht="63.75">
      <c r="A91" s="348"/>
      <c r="B91" s="6" t="s">
        <v>75</v>
      </c>
      <c r="C91" s="136" t="s">
        <v>61</v>
      </c>
      <c r="D91" s="726">
        <f>SUM(D92:D94)</f>
        <v>1550</v>
      </c>
      <c r="E91" s="735">
        <f t="shared" ref="E91:F91" si="34">SUM(E92:E94)</f>
        <v>1525</v>
      </c>
      <c r="F91" s="735">
        <f t="shared" si="34"/>
        <v>1513</v>
      </c>
      <c r="G91" s="264">
        <f t="shared" si="22"/>
        <v>99.21311475409837</v>
      </c>
      <c r="H91" s="266">
        <f>SUM(H92:H94)</f>
        <v>34720</v>
      </c>
      <c r="I91" s="266">
        <f t="shared" ref="I91:J91" si="35">SUM(I92:I94)</f>
        <v>29172</v>
      </c>
      <c r="J91" s="266">
        <f t="shared" si="35"/>
        <v>27110</v>
      </c>
      <c r="K91" s="32">
        <f t="shared" si="18"/>
        <v>92.931578225695873</v>
      </c>
      <c r="L91" s="716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</row>
    <row r="92" spans="1:84" s="247" customFormat="1" ht="18.75">
      <c r="A92" s="348"/>
      <c r="B92" s="37" t="s">
        <v>67</v>
      </c>
      <c r="C92" s="136" t="s">
        <v>61</v>
      </c>
      <c r="D92" s="726">
        <v>1550</v>
      </c>
      <c r="E92" s="733">
        <v>1525</v>
      </c>
      <c r="F92" s="733">
        <v>1513</v>
      </c>
      <c r="G92" s="264">
        <f t="shared" si="22"/>
        <v>99.21311475409837</v>
      </c>
      <c r="H92" s="266">
        <v>34720</v>
      </c>
      <c r="I92" s="266">
        <v>29172</v>
      </c>
      <c r="J92" s="266">
        <v>27110</v>
      </c>
      <c r="K92" s="32">
        <f t="shared" si="18"/>
        <v>92.931578225695873</v>
      </c>
      <c r="L92" s="714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</row>
    <row r="93" spans="1:84" s="247" customFormat="1" ht="18.75">
      <c r="A93" s="348"/>
      <c r="B93" s="37" t="s">
        <v>68</v>
      </c>
      <c r="C93" s="136" t="s">
        <v>61</v>
      </c>
      <c r="D93" s="726">
        <v>0</v>
      </c>
      <c r="E93" s="733">
        <v>0</v>
      </c>
      <c r="F93" s="733">
        <v>0</v>
      </c>
      <c r="G93" s="264" t="e">
        <f t="shared" si="22"/>
        <v>#DIV/0!</v>
      </c>
      <c r="H93" s="642">
        <v>0</v>
      </c>
      <c r="I93" s="642">
        <v>0</v>
      </c>
      <c r="J93" s="642">
        <v>0</v>
      </c>
      <c r="K93" s="32" t="e">
        <f t="shared" si="18"/>
        <v>#DIV/0!</v>
      </c>
      <c r="L93" s="714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</row>
    <row r="94" spans="1:84" s="247" customFormat="1" ht="18.75">
      <c r="A94" s="348"/>
      <c r="B94" s="37" t="s">
        <v>69</v>
      </c>
      <c r="C94" s="136" t="s">
        <v>61</v>
      </c>
      <c r="D94" s="726">
        <v>0</v>
      </c>
      <c r="E94" s="733">
        <v>0</v>
      </c>
      <c r="F94" s="733">
        <v>0</v>
      </c>
      <c r="G94" s="264" t="e">
        <f t="shared" si="22"/>
        <v>#DIV/0!</v>
      </c>
      <c r="H94" s="266">
        <v>0</v>
      </c>
      <c r="I94" s="266">
        <v>0</v>
      </c>
      <c r="J94" s="266">
        <v>0</v>
      </c>
      <c r="K94" s="32" t="e">
        <f t="shared" si="18"/>
        <v>#DIV/0!</v>
      </c>
      <c r="L94" s="719"/>
      <c r="M94" s="413"/>
      <c r="N94" s="413"/>
      <c r="O94" s="413"/>
      <c r="P94" s="413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</row>
    <row r="95" spans="1:84" s="247" customFormat="1" ht="63.75">
      <c r="A95" s="348"/>
      <c r="B95" s="6" t="s">
        <v>343</v>
      </c>
      <c r="C95" s="136" t="s">
        <v>61</v>
      </c>
      <c r="D95" s="726">
        <f>SUM(D96:D98)</f>
        <v>52</v>
      </c>
      <c r="E95" s="735">
        <f t="shared" ref="E95:F95" si="36">SUM(E96:E98)</f>
        <v>54</v>
      </c>
      <c r="F95" s="735">
        <f t="shared" si="36"/>
        <v>53</v>
      </c>
      <c r="G95" s="264">
        <f t="shared" si="22"/>
        <v>98.148148148148152</v>
      </c>
      <c r="H95" s="266">
        <f>SUM(H96:H98)</f>
        <v>1641</v>
      </c>
      <c r="I95" s="266">
        <f t="shared" ref="I95:J95" si="37">SUM(I96:I98)</f>
        <v>1346</v>
      </c>
      <c r="J95" s="266">
        <f t="shared" si="37"/>
        <v>1259</v>
      </c>
      <c r="K95" s="32">
        <f t="shared" si="18"/>
        <v>93.536404160475485</v>
      </c>
      <c r="L95" s="719"/>
      <c r="M95" s="413"/>
      <c r="N95" s="413"/>
      <c r="O95" s="413"/>
      <c r="P95" s="413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</row>
    <row r="96" spans="1:84" s="247" customFormat="1" ht="18.75">
      <c r="A96" s="348"/>
      <c r="B96" s="37" t="s">
        <v>67</v>
      </c>
      <c r="C96" s="136" t="s">
        <v>61</v>
      </c>
      <c r="D96" s="726">
        <v>0</v>
      </c>
      <c r="E96" s="733">
        <v>0</v>
      </c>
      <c r="F96" s="733">
        <v>0</v>
      </c>
      <c r="G96" s="264" t="e">
        <f t="shared" si="22"/>
        <v>#DIV/0!</v>
      </c>
      <c r="H96" s="266">
        <v>0</v>
      </c>
      <c r="I96" s="266">
        <v>0</v>
      </c>
      <c r="J96" s="266">
        <v>0</v>
      </c>
      <c r="K96" s="32" t="e">
        <f t="shared" si="18"/>
        <v>#DIV/0!</v>
      </c>
      <c r="L96" s="714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07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</row>
    <row r="97" spans="1:84" s="352" customFormat="1" ht="18.75">
      <c r="A97" s="348"/>
      <c r="B97" s="37" t="s">
        <v>68</v>
      </c>
      <c r="C97" s="136" t="s">
        <v>61</v>
      </c>
      <c r="D97" s="726">
        <v>47</v>
      </c>
      <c r="E97" s="733">
        <v>50</v>
      </c>
      <c r="F97" s="733">
        <v>49</v>
      </c>
      <c r="G97" s="264">
        <f t="shared" si="22"/>
        <v>98</v>
      </c>
      <c r="H97" s="266">
        <v>1483</v>
      </c>
      <c r="I97" s="266">
        <v>1246</v>
      </c>
      <c r="J97" s="266">
        <v>1164</v>
      </c>
      <c r="K97" s="32">
        <f t="shared" si="18"/>
        <v>93.418940609951846</v>
      </c>
      <c r="L97" s="716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1"/>
      <c r="BK97" s="411"/>
      <c r="BL97" s="411"/>
      <c r="BM97" s="411"/>
      <c r="BN97" s="411"/>
      <c r="BO97" s="411"/>
      <c r="BP97" s="411"/>
      <c r="BQ97" s="411"/>
      <c r="BR97" s="411"/>
      <c r="BS97" s="411"/>
      <c r="BT97" s="411"/>
      <c r="BU97" s="411"/>
      <c r="BV97" s="411"/>
      <c r="BW97" s="411"/>
      <c r="BX97" s="411"/>
      <c r="BY97" s="411"/>
      <c r="BZ97" s="411"/>
      <c r="CA97" s="411"/>
      <c r="CB97" s="411"/>
      <c r="CC97" s="411"/>
      <c r="CD97" s="411"/>
      <c r="CE97" s="411"/>
      <c r="CF97" s="411"/>
    </row>
    <row r="98" spans="1:84" s="247" customFormat="1" ht="18.75">
      <c r="A98" s="348"/>
      <c r="B98" s="37" t="s">
        <v>69</v>
      </c>
      <c r="C98" s="136" t="s">
        <v>61</v>
      </c>
      <c r="D98" s="726">
        <v>5</v>
      </c>
      <c r="E98" s="733">
        <v>4</v>
      </c>
      <c r="F98" s="733">
        <v>4</v>
      </c>
      <c r="G98" s="264">
        <f t="shared" si="22"/>
        <v>100</v>
      </c>
      <c r="H98" s="266">
        <v>158</v>
      </c>
      <c r="I98" s="266">
        <v>100</v>
      </c>
      <c r="J98" s="266">
        <v>95</v>
      </c>
      <c r="K98" s="32">
        <f t="shared" si="18"/>
        <v>95</v>
      </c>
      <c r="L98" s="714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</row>
    <row r="99" spans="1:84" s="352" customFormat="1" ht="18.75">
      <c r="A99" s="356"/>
      <c r="B99" s="204" t="s">
        <v>31</v>
      </c>
      <c r="C99" s="205" t="s">
        <v>76</v>
      </c>
      <c r="D99" s="723">
        <f>D100</f>
        <v>0</v>
      </c>
      <c r="E99" s="732">
        <f t="shared" ref="E99:F99" si="38">E100</f>
        <v>1400</v>
      </c>
      <c r="F99" s="732">
        <f t="shared" si="38"/>
        <v>1400</v>
      </c>
      <c r="G99" s="257"/>
      <c r="H99" s="259">
        <f>SUM(H100)</f>
        <v>0</v>
      </c>
      <c r="I99" s="259">
        <f>SUM(I100)</f>
        <v>3049</v>
      </c>
      <c r="J99" s="259">
        <f>SUM(J100)</f>
        <v>3049</v>
      </c>
      <c r="K99" s="579"/>
      <c r="L99" s="716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/>
      <c r="BX99" s="411"/>
      <c r="BY99" s="411"/>
      <c r="BZ99" s="411"/>
      <c r="CA99" s="411"/>
      <c r="CB99" s="411"/>
      <c r="CC99" s="411"/>
      <c r="CD99" s="411"/>
      <c r="CE99" s="411"/>
      <c r="CF99" s="411"/>
    </row>
    <row r="100" spans="1:84" s="433" customFormat="1" ht="19.5">
      <c r="A100" s="348"/>
      <c r="B100" s="6" t="s">
        <v>142</v>
      </c>
      <c r="C100" s="136" t="s">
        <v>76</v>
      </c>
      <c r="D100" s="726">
        <v>0</v>
      </c>
      <c r="E100" s="733">
        <v>1400</v>
      </c>
      <c r="F100" s="733">
        <v>1400</v>
      </c>
      <c r="G100" s="264">
        <f t="shared" si="22"/>
        <v>100</v>
      </c>
      <c r="H100" s="266">
        <v>0</v>
      </c>
      <c r="I100" s="266">
        <v>3049</v>
      </c>
      <c r="J100" s="266">
        <v>3049</v>
      </c>
      <c r="K100" s="32">
        <f t="shared" si="18"/>
        <v>100</v>
      </c>
      <c r="L100" s="720"/>
      <c r="M100" s="432"/>
      <c r="N100" s="432"/>
      <c r="O100" s="432"/>
      <c r="P100" s="432"/>
      <c r="Q100" s="432"/>
      <c r="R100" s="432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  <c r="BV100" s="432"/>
      <c r="BW100" s="432"/>
      <c r="BX100" s="432"/>
      <c r="BY100" s="432"/>
      <c r="BZ100" s="432"/>
      <c r="CA100" s="432"/>
      <c r="CB100" s="432"/>
      <c r="CC100" s="432"/>
      <c r="CD100" s="432"/>
      <c r="CE100" s="432"/>
      <c r="CF100" s="432"/>
    </row>
    <row r="101" spans="1:84" s="352" customFormat="1" ht="32.25">
      <c r="A101" s="356"/>
      <c r="B101" s="204" t="s">
        <v>78</v>
      </c>
      <c r="C101" s="205" t="s">
        <v>5</v>
      </c>
      <c r="D101" s="723">
        <f>D102</f>
        <v>5283</v>
      </c>
      <c r="E101" s="732">
        <f t="shared" ref="E101:F101" si="39">E102</f>
        <v>5283</v>
      </c>
      <c r="F101" s="732">
        <f t="shared" si="39"/>
        <v>5283</v>
      </c>
      <c r="G101" s="257">
        <f t="shared" si="22"/>
        <v>100</v>
      </c>
      <c r="H101" s="344">
        <f>H102</f>
        <v>9577</v>
      </c>
      <c r="I101" s="344">
        <f>I102</f>
        <v>10619</v>
      </c>
      <c r="J101" s="344">
        <f>J102</f>
        <v>10619</v>
      </c>
      <c r="K101" s="579">
        <f t="shared" si="18"/>
        <v>100</v>
      </c>
      <c r="L101" s="716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</row>
    <row r="102" spans="1:84" s="433" customFormat="1" ht="19.5">
      <c r="A102" s="348"/>
      <c r="B102" s="6" t="s">
        <v>79</v>
      </c>
      <c r="C102" s="136" t="s">
        <v>5</v>
      </c>
      <c r="D102" s="726">
        <v>5283</v>
      </c>
      <c r="E102" s="733">
        <v>5283</v>
      </c>
      <c r="F102" s="733">
        <v>5283</v>
      </c>
      <c r="G102" s="264">
        <f t="shared" si="22"/>
        <v>100</v>
      </c>
      <c r="H102" s="642">
        <v>9577</v>
      </c>
      <c r="I102" s="642">
        <v>10619</v>
      </c>
      <c r="J102" s="642">
        <v>10619</v>
      </c>
      <c r="K102" s="32">
        <f t="shared" si="18"/>
        <v>100</v>
      </c>
      <c r="L102" s="720"/>
      <c r="M102" s="432"/>
      <c r="N102" s="432"/>
      <c r="O102" s="432"/>
      <c r="P102" s="432"/>
      <c r="Q102" s="432"/>
      <c r="R102" s="432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32"/>
      <c r="AE102" s="432"/>
      <c r="AF102" s="432"/>
      <c r="AG102" s="432"/>
      <c r="AH102" s="432"/>
      <c r="AI102" s="432"/>
      <c r="AJ102" s="432"/>
      <c r="AK102" s="432"/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32"/>
      <c r="AW102" s="432"/>
      <c r="AX102" s="432"/>
      <c r="AY102" s="432"/>
      <c r="AZ102" s="432"/>
      <c r="BA102" s="432"/>
      <c r="BB102" s="432"/>
      <c r="BC102" s="432"/>
      <c r="BD102" s="432"/>
      <c r="BE102" s="432"/>
      <c r="BF102" s="432"/>
      <c r="BG102" s="432"/>
      <c r="BH102" s="432"/>
      <c r="BI102" s="432"/>
      <c r="BJ102" s="432"/>
      <c r="BK102" s="432"/>
      <c r="BL102" s="432"/>
      <c r="BM102" s="432"/>
      <c r="BN102" s="432"/>
      <c r="BO102" s="432"/>
      <c r="BP102" s="432"/>
      <c r="BQ102" s="432"/>
      <c r="BR102" s="432"/>
      <c r="BS102" s="432"/>
      <c r="BT102" s="432"/>
      <c r="BU102" s="432"/>
      <c r="BV102" s="432"/>
      <c r="BW102" s="432"/>
      <c r="BX102" s="432"/>
      <c r="BY102" s="432"/>
      <c r="BZ102" s="432"/>
      <c r="CA102" s="432"/>
      <c r="CB102" s="432"/>
      <c r="CC102" s="432"/>
      <c r="CD102" s="432"/>
      <c r="CE102" s="432"/>
      <c r="CF102" s="432"/>
    </row>
    <row r="103" spans="1:84" s="352" customFormat="1" ht="58.5" customHeight="1">
      <c r="A103" s="708"/>
      <c r="B103" s="709" t="s">
        <v>292</v>
      </c>
      <c r="C103" s="710"/>
      <c r="D103" s="711">
        <f>D104+D108</f>
        <v>5342</v>
      </c>
      <c r="E103" s="711">
        <f t="shared" ref="E103:F103" si="40">E104+E108</f>
        <v>5114</v>
      </c>
      <c r="F103" s="711">
        <f t="shared" si="40"/>
        <v>5100</v>
      </c>
      <c r="G103" s="712">
        <f t="shared" si="22"/>
        <v>99.726241689479849</v>
      </c>
      <c r="H103" s="711">
        <f>H104+H108</f>
        <v>678850</v>
      </c>
      <c r="I103" s="711">
        <f>I104+I108+I112</f>
        <v>744112</v>
      </c>
      <c r="J103" s="711">
        <f>J104+J108+J112</f>
        <v>744112</v>
      </c>
      <c r="K103" s="744">
        <f t="shared" si="18"/>
        <v>100</v>
      </c>
      <c r="L103" s="716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  <c r="BL103" s="411"/>
      <c r="BM103" s="411"/>
      <c r="BN103" s="411"/>
      <c r="BO103" s="411"/>
      <c r="BP103" s="411"/>
      <c r="BQ103" s="411"/>
      <c r="BR103" s="411"/>
      <c r="BS103" s="411"/>
      <c r="BT103" s="411"/>
      <c r="BU103" s="411"/>
      <c r="BV103" s="411"/>
      <c r="BW103" s="411"/>
      <c r="BX103" s="411"/>
      <c r="BY103" s="411"/>
      <c r="BZ103" s="411"/>
      <c r="CA103" s="411"/>
      <c r="CB103" s="411"/>
      <c r="CC103" s="411"/>
      <c r="CD103" s="411"/>
      <c r="CE103" s="411"/>
      <c r="CF103" s="411"/>
    </row>
    <row r="104" spans="1:84" s="352" customFormat="1" ht="18.75">
      <c r="A104" s="203" t="s">
        <v>4</v>
      </c>
      <c r="B104" s="204" t="s">
        <v>89</v>
      </c>
      <c r="C104" s="205" t="s">
        <v>90</v>
      </c>
      <c r="D104" s="576">
        <f>D105+D106+D107</f>
        <v>2671</v>
      </c>
      <c r="E104" s="576">
        <f t="shared" ref="E104:F104" si="41">E105+E106+E107</f>
        <v>2557</v>
      </c>
      <c r="F104" s="576">
        <f t="shared" si="41"/>
        <v>2550</v>
      </c>
      <c r="G104" s="361">
        <f t="shared" si="22"/>
        <v>99.726241689479849</v>
      </c>
      <c r="H104" s="576">
        <f t="shared" ref="H104:I104" si="42">H105+H106+H107</f>
        <v>5286</v>
      </c>
      <c r="I104" s="576">
        <f t="shared" si="42"/>
        <v>9496</v>
      </c>
      <c r="J104" s="576">
        <f t="shared" ref="J104" si="43">J105+J106+J107</f>
        <v>9496</v>
      </c>
      <c r="K104" s="32">
        <f t="shared" si="18"/>
        <v>100</v>
      </c>
      <c r="L104" s="716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411"/>
      <c r="BU104" s="411"/>
      <c r="BV104" s="411"/>
      <c r="BW104" s="411"/>
      <c r="BX104" s="411"/>
      <c r="BY104" s="411"/>
      <c r="BZ104" s="411"/>
      <c r="CA104" s="411"/>
      <c r="CB104" s="411"/>
      <c r="CC104" s="411"/>
      <c r="CD104" s="411"/>
      <c r="CE104" s="411"/>
      <c r="CF104" s="411"/>
    </row>
    <row r="105" spans="1:84" s="352" customFormat="1" ht="19.5" customHeight="1">
      <c r="A105" s="5" t="s">
        <v>26</v>
      </c>
      <c r="B105" s="707" t="s">
        <v>91</v>
      </c>
      <c r="C105" s="136" t="s">
        <v>90</v>
      </c>
      <c r="D105" s="195">
        <v>2627</v>
      </c>
      <c r="E105" s="195">
        <v>2503</v>
      </c>
      <c r="F105" s="195">
        <v>2494</v>
      </c>
      <c r="G105" s="264">
        <f t="shared" si="22"/>
        <v>99.640431482221331</v>
      </c>
      <c r="H105" s="642">
        <v>3586</v>
      </c>
      <c r="I105" s="266">
        <v>7223</v>
      </c>
      <c r="J105" s="266">
        <v>7223</v>
      </c>
      <c r="K105" s="32">
        <f t="shared" si="18"/>
        <v>100</v>
      </c>
      <c r="L105" s="716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/>
      <c r="AS105" s="411"/>
      <c r="AT105" s="411"/>
      <c r="AU105" s="411"/>
      <c r="AV105" s="411"/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1"/>
      <c r="BH105" s="411"/>
      <c r="BI105" s="411"/>
      <c r="BJ105" s="411"/>
      <c r="BK105" s="411"/>
      <c r="BL105" s="411"/>
      <c r="BM105" s="411"/>
      <c r="BN105" s="411"/>
      <c r="BO105" s="411"/>
      <c r="BP105" s="411"/>
      <c r="BQ105" s="411"/>
      <c r="BR105" s="411"/>
      <c r="BS105" s="411"/>
      <c r="BT105" s="411"/>
      <c r="BU105" s="411"/>
      <c r="BV105" s="411"/>
      <c r="BW105" s="411"/>
      <c r="BX105" s="411"/>
      <c r="BY105" s="411"/>
      <c r="BZ105" s="411"/>
      <c r="CA105" s="411"/>
      <c r="CB105" s="411"/>
      <c r="CC105" s="411"/>
      <c r="CD105" s="411"/>
      <c r="CE105" s="411"/>
      <c r="CF105" s="411"/>
    </row>
    <row r="106" spans="1:84" s="352" customFormat="1" ht="18.75">
      <c r="A106" s="5" t="s">
        <v>27</v>
      </c>
      <c r="B106" s="6" t="s">
        <v>92</v>
      </c>
      <c r="C106" s="136" t="s">
        <v>90</v>
      </c>
      <c r="D106" s="195">
        <v>26</v>
      </c>
      <c r="E106" s="195">
        <v>35</v>
      </c>
      <c r="F106" s="195">
        <v>36</v>
      </c>
      <c r="G106" s="264">
        <f t="shared" si="22"/>
        <v>102.85714285714285</v>
      </c>
      <c r="H106" s="642">
        <v>1167</v>
      </c>
      <c r="I106" s="266">
        <v>1533</v>
      </c>
      <c r="J106" s="266">
        <v>1533</v>
      </c>
      <c r="K106" s="32"/>
      <c r="L106" s="716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1"/>
      <c r="AQ106" s="411"/>
      <c r="AR106" s="411"/>
      <c r="AS106" s="411"/>
      <c r="AT106" s="411"/>
      <c r="AU106" s="411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/>
      <c r="BI106" s="411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1"/>
      <c r="BW106" s="411"/>
      <c r="BX106" s="411"/>
      <c r="BY106" s="411"/>
      <c r="BZ106" s="411"/>
      <c r="CA106" s="411"/>
      <c r="CB106" s="411"/>
      <c r="CC106" s="411"/>
      <c r="CD106" s="411"/>
      <c r="CE106" s="411"/>
      <c r="CF106" s="411"/>
    </row>
    <row r="107" spans="1:84" s="247" customFormat="1" ht="18.75">
      <c r="A107" s="5" t="s">
        <v>28</v>
      </c>
      <c r="B107" s="6" t="s">
        <v>94</v>
      </c>
      <c r="C107" s="136" t="s">
        <v>90</v>
      </c>
      <c r="D107" s="259">
        <v>18</v>
      </c>
      <c r="E107" s="195">
        <v>19</v>
      </c>
      <c r="F107" s="195">
        <v>20</v>
      </c>
      <c r="G107" s="586">
        <f>F107/E107*100</f>
        <v>105.26315789473684</v>
      </c>
      <c r="H107" s="643">
        <v>533</v>
      </c>
      <c r="I107" s="643">
        <v>740</v>
      </c>
      <c r="J107" s="643">
        <v>740</v>
      </c>
      <c r="K107" s="587">
        <f>J107/I107*100</f>
        <v>100</v>
      </c>
      <c r="L107" s="714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</row>
    <row r="108" spans="1:84" s="247" customFormat="1" ht="32.25">
      <c r="A108" s="203" t="s">
        <v>95</v>
      </c>
      <c r="B108" s="204" t="s">
        <v>96</v>
      </c>
      <c r="C108" s="205" t="s">
        <v>61</v>
      </c>
      <c r="D108" s="259">
        <f>D109+D110+D111</f>
        <v>2671</v>
      </c>
      <c r="E108" s="259">
        <f t="shared" ref="E108:F108" si="44">E109+E110+E111</f>
        <v>2557</v>
      </c>
      <c r="F108" s="259">
        <f t="shared" si="44"/>
        <v>2550</v>
      </c>
      <c r="G108" s="257">
        <f>F108/E108*100</f>
        <v>99.726241689479849</v>
      </c>
      <c r="H108" s="259">
        <f t="shared" ref="H108:I108" si="45">H109+H110+H111</f>
        <v>673564</v>
      </c>
      <c r="I108" s="259">
        <f t="shared" si="45"/>
        <v>733411</v>
      </c>
      <c r="J108" s="259">
        <f t="shared" ref="J108" si="46">J109+J110+J111</f>
        <v>733411</v>
      </c>
      <c r="K108" s="587">
        <f>J108/I108*100</f>
        <v>100</v>
      </c>
      <c r="L108" s="714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</row>
    <row r="109" spans="1:84" s="247" customFormat="1" ht="18.75">
      <c r="A109" s="5" t="s">
        <v>97</v>
      </c>
      <c r="B109" s="6" t="s">
        <v>98</v>
      </c>
      <c r="C109" s="136" t="s">
        <v>61</v>
      </c>
      <c r="D109" s="266">
        <v>465</v>
      </c>
      <c r="E109" s="195">
        <v>421</v>
      </c>
      <c r="F109" s="195">
        <v>428</v>
      </c>
      <c r="G109" s="264">
        <f t="shared" ref="G109:G124" si="47">F109/E109*100</f>
        <v>101.66270783847982</v>
      </c>
      <c r="H109" s="266">
        <v>112477</v>
      </c>
      <c r="I109" s="266">
        <v>128795</v>
      </c>
      <c r="J109" s="266">
        <v>128795</v>
      </c>
      <c r="K109" s="588">
        <f t="shared" ref="K109:K124" si="48">J109/I109*100</f>
        <v>100</v>
      </c>
      <c r="L109" s="714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</row>
    <row r="110" spans="1:84" s="247" customFormat="1" ht="18.75">
      <c r="A110" s="5" t="s">
        <v>99</v>
      </c>
      <c r="B110" s="6" t="s">
        <v>100</v>
      </c>
      <c r="C110" s="136" t="s">
        <v>61</v>
      </c>
      <c r="D110" s="266">
        <v>1928</v>
      </c>
      <c r="E110" s="195">
        <v>1860</v>
      </c>
      <c r="F110" s="195">
        <v>1847</v>
      </c>
      <c r="G110" s="264">
        <f t="shared" si="47"/>
        <v>99.3010752688172</v>
      </c>
      <c r="H110" s="266">
        <v>384312</v>
      </c>
      <c r="I110" s="266">
        <v>399417</v>
      </c>
      <c r="J110" s="266">
        <v>399417</v>
      </c>
      <c r="K110" s="588">
        <f t="shared" si="48"/>
        <v>100</v>
      </c>
      <c r="L110" s="714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7"/>
      <c r="BU110" s="407"/>
      <c r="BV110" s="407"/>
      <c r="BW110" s="407"/>
      <c r="BX110" s="407"/>
      <c r="BY110" s="407"/>
      <c r="BZ110" s="407"/>
      <c r="CA110" s="407"/>
      <c r="CB110" s="407"/>
      <c r="CC110" s="407"/>
      <c r="CD110" s="407"/>
      <c r="CE110" s="407"/>
      <c r="CF110" s="407"/>
    </row>
    <row r="111" spans="1:84" s="262" customFormat="1" ht="47.25">
      <c r="A111" s="5" t="s">
        <v>223</v>
      </c>
      <c r="B111" s="6" t="s">
        <v>102</v>
      </c>
      <c r="C111" s="136" t="s">
        <v>61</v>
      </c>
      <c r="D111" s="589">
        <v>278</v>
      </c>
      <c r="E111" s="195">
        <v>276</v>
      </c>
      <c r="F111" s="195">
        <v>275</v>
      </c>
      <c r="G111" s="264">
        <f t="shared" si="47"/>
        <v>99.637681159420282</v>
      </c>
      <c r="H111" s="266">
        <v>176775</v>
      </c>
      <c r="I111" s="266">
        <v>205199</v>
      </c>
      <c r="J111" s="266">
        <v>205199</v>
      </c>
      <c r="K111" s="588">
        <f t="shared" si="48"/>
        <v>100</v>
      </c>
      <c r="L111" s="714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  <c r="BX111" s="309"/>
      <c r="BY111" s="309"/>
      <c r="BZ111" s="309"/>
      <c r="CA111" s="309"/>
      <c r="CB111" s="309"/>
      <c r="CC111" s="309"/>
      <c r="CD111" s="309"/>
      <c r="CE111" s="309"/>
      <c r="CF111" s="309"/>
    </row>
    <row r="112" spans="1:84" s="256" customFormat="1" ht="31.5">
      <c r="A112" s="216" t="s">
        <v>8</v>
      </c>
      <c r="B112" s="204" t="s">
        <v>328</v>
      </c>
      <c r="C112" s="438" t="s">
        <v>112</v>
      </c>
      <c r="D112" s="706"/>
      <c r="E112" s="576"/>
      <c r="F112" s="576"/>
      <c r="G112" s="361"/>
      <c r="H112" s="644">
        <v>0</v>
      </c>
      <c r="I112" s="259">
        <v>1205</v>
      </c>
      <c r="J112" s="259">
        <v>1205</v>
      </c>
      <c r="K112" s="745">
        <f t="shared" si="48"/>
        <v>100</v>
      </c>
      <c r="L112" s="716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  <c r="BW112" s="298"/>
      <c r="BX112" s="298"/>
      <c r="BY112" s="298"/>
      <c r="BZ112" s="298"/>
      <c r="CA112" s="298"/>
      <c r="CB112" s="298"/>
      <c r="CC112" s="298"/>
      <c r="CD112" s="298"/>
      <c r="CE112" s="298"/>
      <c r="CF112" s="298"/>
    </row>
    <row r="113" spans="1:84" s="262" customFormat="1" ht="82.5" customHeight="1">
      <c r="A113" s="590"/>
      <c r="B113" s="594" t="s">
        <v>110</v>
      </c>
      <c r="C113" s="4"/>
      <c r="D113" s="259">
        <f>SUM(D114:D118)</f>
        <v>424</v>
      </c>
      <c r="E113" s="259">
        <f>SUM(E114:E118)</f>
        <v>544</v>
      </c>
      <c r="F113" s="259">
        <f>SUM(F114:F118)</f>
        <v>544</v>
      </c>
      <c r="G113" s="361">
        <f t="shared" si="47"/>
        <v>100</v>
      </c>
      <c r="H113" s="259">
        <f>SUM(H114:H118)</f>
        <v>31106</v>
      </c>
      <c r="I113" s="259">
        <f>SUM(I114:I118)</f>
        <v>39349</v>
      </c>
      <c r="J113" s="259">
        <f>SUM(J114:J118)</f>
        <v>39349</v>
      </c>
      <c r="K113" s="588">
        <f t="shared" si="48"/>
        <v>100</v>
      </c>
      <c r="L113" s="714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09"/>
    </row>
    <row r="114" spans="1:84" s="262" customFormat="1" ht="31.5">
      <c r="A114" s="111" t="s">
        <v>4</v>
      </c>
      <c r="B114" s="2" t="s">
        <v>328</v>
      </c>
      <c r="C114" s="196" t="s">
        <v>112</v>
      </c>
      <c r="D114" s="589">
        <v>0</v>
      </c>
      <c r="E114" s="640">
        <v>120</v>
      </c>
      <c r="F114" s="640">
        <v>120</v>
      </c>
      <c r="G114" s="264">
        <f t="shared" si="47"/>
        <v>100</v>
      </c>
      <c r="H114" s="266">
        <v>0</v>
      </c>
      <c r="I114" s="266">
        <v>2353</v>
      </c>
      <c r="J114" s="266">
        <f>I114</f>
        <v>2353</v>
      </c>
      <c r="K114" s="588">
        <f t="shared" si="48"/>
        <v>100</v>
      </c>
      <c r="L114" s="714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09"/>
    </row>
    <row r="115" spans="1:84" s="262" customFormat="1" ht="31.5">
      <c r="A115" s="111" t="s">
        <v>6</v>
      </c>
      <c r="B115" s="2" t="s">
        <v>113</v>
      </c>
      <c r="C115" s="196" t="s">
        <v>114</v>
      </c>
      <c r="D115" s="641">
        <v>96</v>
      </c>
      <c r="E115" s="640">
        <v>96</v>
      </c>
      <c r="F115" s="640">
        <v>96</v>
      </c>
      <c r="G115" s="264">
        <f t="shared" si="47"/>
        <v>100</v>
      </c>
      <c r="H115" s="266">
        <v>12431</v>
      </c>
      <c r="I115" s="266">
        <v>14011</v>
      </c>
      <c r="J115" s="266">
        <f>I115</f>
        <v>14011</v>
      </c>
      <c r="K115" s="588">
        <f t="shared" si="48"/>
        <v>100</v>
      </c>
      <c r="L115" s="714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  <c r="CC115" s="309"/>
      <c r="CD115" s="309"/>
      <c r="CE115" s="309"/>
      <c r="CF115" s="309"/>
    </row>
    <row r="116" spans="1:84" s="262" customFormat="1" ht="94.5">
      <c r="A116" s="111" t="s">
        <v>8</v>
      </c>
      <c r="B116" s="52" t="s">
        <v>115</v>
      </c>
      <c r="C116" s="437" t="s">
        <v>116</v>
      </c>
      <c r="D116" s="641">
        <v>324</v>
      </c>
      <c r="E116" s="640">
        <v>324</v>
      </c>
      <c r="F116" s="640">
        <v>324</v>
      </c>
      <c r="G116" s="264">
        <f t="shared" si="47"/>
        <v>100</v>
      </c>
      <c r="H116" s="266">
        <v>16321</v>
      </c>
      <c r="I116" s="266">
        <v>20433</v>
      </c>
      <c r="J116" s="266">
        <f t="shared" ref="J116:J118" si="49">I116</f>
        <v>20433</v>
      </c>
      <c r="K116" s="588">
        <f t="shared" si="48"/>
        <v>100</v>
      </c>
      <c r="L116" s="714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09"/>
    </row>
    <row r="117" spans="1:84" s="262" customFormat="1" ht="94.5">
      <c r="A117" s="111" t="s">
        <v>18</v>
      </c>
      <c r="B117" s="52" t="s">
        <v>184</v>
      </c>
      <c r="C117" s="196" t="s">
        <v>117</v>
      </c>
      <c r="D117" s="641">
        <v>2</v>
      </c>
      <c r="E117" s="640">
        <v>2</v>
      </c>
      <c r="F117" s="640">
        <v>2</v>
      </c>
      <c r="G117" s="264">
        <f t="shared" si="47"/>
        <v>100</v>
      </c>
      <c r="H117" s="266">
        <v>1258</v>
      </c>
      <c r="I117" s="266">
        <v>1340</v>
      </c>
      <c r="J117" s="266">
        <f t="shared" si="49"/>
        <v>1340</v>
      </c>
      <c r="K117" s="588">
        <f t="shared" si="48"/>
        <v>100</v>
      </c>
      <c r="L117" s="714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  <c r="BX117" s="309"/>
      <c r="BY117" s="309"/>
      <c r="BZ117" s="309"/>
      <c r="CA117" s="309"/>
      <c r="CB117" s="309"/>
      <c r="CC117" s="309"/>
      <c r="CD117" s="309"/>
      <c r="CE117" s="309"/>
      <c r="CF117" s="309"/>
    </row>
    <row r="118" spans="1:84" s="262" customFormat="1" ht="110.25">
      <c r="A118" s="111" t="s">
        <v>21</v>
      </c>
      <c r="B118" s="52" t="s">
        <v>118</v>
      </c>
      <c r="C118" s="196" t="s">
        <v>117</v>
      </c>
      <c r="D118" s="641">
        <v>2</v>
      </c>
      <c r="E118" s="640">
        <v>2</v>
      </c>
      <c r="F118" s="640">
        <v>2</v>
      </c>
      <c r="G118" s="264">
        <f t="shared" si="47"/>
        <v>100</v>
      </c>
      <c r="H118" s="266">
        <v>1096</v>
      </c>
      <c r="I118" s="266">
        <v>1212</v>
      </c>
      <c r="J118" s="266">
        <f t="shared" si="49"/>
        <v>1212</v>
      </c>
      <c r="K118" s="588">
        <f t="shared" si="48"/>
        <v>100</v>
      </c>
      <c r="L118" s="714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  <c r="BX118" s="309"/>
      <c r="BY118" s="309"/>
      <c r="BZ118" s="309"/>
      <c r="CA118" s="309"/>
      <c r="CB118" s="309"/>
      <c r="CC118" s="309"/>
      <c r="CD118" s="309"/>
      <c r="CE118" s="309"/>
      <c r="CF118" s="309"/>
    </row>
    <row r="119" spans="1:84" s="262" customFormat="1" ht="89.25" customHeight="1">
      <c r="A119" s="590"/>
      <c r="B119" s="594" t="s">
        <v>119</v>
      </c>
      <c r="C119" s="206"/>
      <c r="D119" s="259">
        <f>SUM(D120:D124)</f>
        <v>495</v>
      </c>
      <c r="E119" s="259">
        <f>SUM(E120:E124)</f>
        <v>518</v>
      </c>
      <c r="F119" s="259">
        <f>SUM(F120:F124)</f>
        <v>518</v>
      </c>
      <c r="G119" s="257">
        <f t="shared" si="47"/>
        <v>100</v>
      </c>
      <c r="H119" s="259">
        <f>SUM(H120:H124)</f>
        <v>29874</v>
      </c>
      <c r="I119" s="259">
        <f>SUM(I120:I124)</f>
        <v>26806</v>
      </c>
      <c r="J119" s="259">
        <f>SUM(J120:J124)</f>
        <v>26160</v>
      </c>
      <c r="K119" s="587">
        <f t="shared" si="48"/>
        <v>97.590091770499143</v>
      </c>
      <c r="L119" s="721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  <c r="BX119" s="309"/>
      <c r="BY119" s="309"/>
      <c r="BZ119" s="309"/>
      <c r="CA119" s="309"/>
      <c r="CB119" s="309"/>
      <c r="CC119" s="309"/>
      <c r="CD119" s="309"/>
      <c r="CE119" s="309"/>
      <c r="CF119" s="309"/>
    </row>
    <row r="120" spans="1:84" s="262" customFormat="1" ht="15.75">
      <c r="A120" s="181" t="s">
        <v>4</v>
      </c>
      <c r="B120" s="80" t="s">
        <v>111</v>
      </c>
      <c r="C120" s="182" t="s">
        <v>9</v>
      </c>
      <c r="D120" s="589">
        <v>210</v>
      </c>
      <c r="E120" s="78">
        <v>233</v>
      </c>
      <c r="F120" s="78">
        <v>233</v>
      </c>
      <c r="G120" s="264">
        <f t="shared" si="47"/>
        <v>100</v>
      </c>
      <c r="H120" s="268">
        <v>12584</v>
      </c>
      <c r="I120" s="268">
        <v>11923</v>
      </c>
      <c r="J120" s="268">
        <v>11865</v>
      </c>
      <c r="K120" s="588">
        <f t="shared" si="48"/>
        <v>99.513545248679023</v>
      </c>
      <c r="L120" s="714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</row>
    <row r="121" spans="1:84" s="262" customFormat="1" ht="47.25">
      <c r="A121" s="181" t="s">
        <v>6</v>
      </c>
      <c r="B121" s="80" t="s">
        <v>120</v>
      </c>
      <c r="C121" s="185" t="s">
        <v>117</v>
      </c>
      <c r="D121" s="589">
        <v>4</v>
      </c>
      <c r="E121" s="78">
        <v>4</v>
      </c>
      <c r="F121" s="78">
        <v>4</v>
      </c>
      <c r="G121" s="264">
        <f t="shared" si="47"/>
        <v>100</v>
      </c>
      <c r="H121" s="268">
        <v>649</v>
      </c>
      <c r="I121" s="268">
        <v>559</v>
      </c>
      <c r="J121" s="268">
        <v>536</v>
      </c>
      <c r="K121" s="588">
        <f t="shared" si="48"/>
        <v>95.885509838998203</v>
      </c>
      <c r="L121" s="714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  <c r="BX121" s="309"/>
      <c r="BY121" s="309"/>
      <c r="BZ121" s="309"/>
      <c r="CA121" s="309"/>
      <c r="CB121" s="309"/>
      <c r="CC121" s="309"/>
      <c r="CD121" s="309"/>
      <c r="CE121" s="309"/>
      <c r="CF121" s="309"/>
    </row>
    <row r="122" spans="1:84" s="262" customFormat="1" ht="31.5">
      <c r="A122" s="181" t="s">
        <v>8</v>
      </c>
      <c r="B122" s="85" t="s">
        <v>121</v>
      </c>
      <c r="C122" s="186" t="s">
        <v>208</v>
      </c>
      <c r="D122" s="589">
        <v>9</v>
      </c>
      <c r="E122" s="640">
        <v>9</v>
      </c>
      <c r="F122" s="640">
        <v>9</v>
      </c>
      <c r="G122" s="264">
        <f t="shared" si="47"/>
        <v>100</v>
      </c>
      <c r="H122" s="268">
        <v>2959</v>
      </c>
      <c r="I122" s="268">
        <v>2546</v>
      </c>
      <c r="J122" s="268">
        <v>2446</v>
      </c>
      <c r="K122" s="588">
        <f t="shared" si="48"/>
        <v>96.072270227808332</v>
      </c>
      <c r="L122" s="714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</row>
    <row r="123" spans="1:84" s="262" customFormat="1" ht="78.75">
      <c r="A123" s="181" t="s">
        <v>18</v>
      </c>
      <c r="B123" s="85" t="s">
        <v>122</v>
      </c>
      <c r="C123" s="186" t="s">
        <v>114</v>
      </c>
      <c r="D123" s="589">
        <v>200</v>
      </c>
      <c r="E123" s="640">
        <v>200</v>
      </c>
      <c r="F123" s="640">
        <v>200</v>
      </c>
      <c r="G123" s="264">
        <f t="shared" si="47"/>
        <v>100</v>
      </c>
      <c r="H123" s="268">
        <v>5859</v>
      </c>
      <c r="I123" s="268">
        <v>5043</v>
      </c>
      <c r="J123" s="268">
        <v>4844</v>
      </c>
      <c r="K123" s="588">
        <f t="shared" si="48"/>
        <v>96.05393614911759</v>
      </c>
      <c r="L123" s="714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</row>
    <row r="124" spans="1:84" s="262" customFormat="1" ht="63">
      <c r="A124" s="181" t="s">
        <v>21</v>
      </c>
      <c r="B124" s="85" t="s">
        <v>123</v>
      </c>
      <c r="C124" s="186" t="s">
        <v>124</v>
      </c>
      <c r="D124" s="589">
        <v>72</v>
      </c>
      <c r="E124" s="640">
        <v>72</v>
      </c>
      <c r="F124" s="640">
        <v>72</v>
      </c>
      <c r="G124" s="264">
        <f t="shared" si="47"/>
        <v>100</v>
      </c>
      <c r="H124" s="268">
        <v>7823</v>
      </c>
      <c r="I124" s="268">
        <v>6735</v>
      </c>
      <c r="J124" s="268">
        <v>6469</v>
      </c>
      <c r="K124" s="588">
        <f t="shared" si="48"/>
        <v>96.050482553823315</v>
      </c>
      <c r="L124" s="714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09"/>
    </row>
    <row r="125" spans="1:84" s="262" customFormat="1" ht="15.75">
      <c r="A125" s="181"/>
      <c r="B125" s="85"/>
      <c r="C125" s="186"/>
      <c r="D125" s="589"/>
      <c r="E125" s="640"/>
      <c r="F125" s="640"/>
      <c r="G125" s="264"/>
      <c r="H125" s="268"/>
      <c r="I125" s="268"/>
      <c r="J125" s="268"/>
      <c r="K125" s="588"/>
      <c r="L125" s="714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</row>
    <row r="126" spans="1:84" s="262" customFormat="1" ht="30">
      <c r="A126" s="331"/>
      <c r="B126" s="274" t="s">
        <v>344</v>
      </c>
      <c r="C126" s="3" t="s">
        <v>322</v>
      </c>
      <c r="D126" s="34"/>
      <c r="E126" s="34"/>
      <c r="F126" s="34"/>
      <c r="G126" s="3"/>
      <c r="H126" s="577"/>
      <c r="I126" s="577"/>
      <c r="J126" s="577"/>
      <c r="K126" s="63"/>
      <c r="L126" s="714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</row>
    <row r="127" spans="1:84" s="262" customFormat="1" ht="75">
      <c r="A127" s="181"/>
      <c r="B127" s="595" t="s">
        <v>262</v>
      </c>
      <c r="C127" s="186"/>
      <c r="D127" s="7"/>
      <c r="E127" s="112"/>
      <c r="F127" s="112"/>
      <c r="G127" s="131"/>
      <c r="H127" s="515"/>
      <c r="I127" s="515"/>
      <c r="J127" s="515"/>
      <c r="K127" s="63"/>
      <c r="L127" s="714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</row>
    <row r="128" spans="1:84" s="262" customFormat="1" ht="15.75">
      <c r="A128" s="181"/>
      <c r="B128" s="85"/>
      <c r="C128" s="186"/>
      <c r="D128" s="7"/>
      <c r="E128" s="112"/>
      <c r="F128" s="112"/>
      <c r="G128" s="131"/>
      <c r="H128" s="515"/>
      <c r="I128" s="515"/>
      <c r="J128" s="515"/>
      <c r="K128" s="588"/>
      <c r="L128" s="714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</row>
    <row r="129" spans="1:84" s="611" customFormat="1" ht="20.25">
      <c r="A129" s="604"/>
      <c r="B129" s="605" t="s">
        <v>304</v>
      </c>
      <c r="C129" s="606"/>
      <c r="D129" s="607">
        <f>ROUND(D7+D24+D54+D58,0)</f>
        <v>332003</v>
      </c>
      <c r="E129" s="607">
        <f>ROUND(E7+E24+E54+E58,0)</f>
        <v>331504</v>
      </c>
      <c r="F129" s="607">
        <f>ROUND(F7+F24+F54+F58,0)</f>
        <v>334150</v>
      </c>
      <c r="G129" s="608">
        <f>F129/E129*100</f>
        <v>100.79818041411266</v>
      </c>
      <c r="H129" s="609">
        <f>ROUND(H7+H24+H54+H58,0)</f>
        <v>1949879</v>
      </c>
      <c r="I129" s="609">
        <f>ROUND(I7+I24+I54+I58,0)</f>
        <v>2052474</v>
      </c>
      <c r="J129" s="609">
        <f>ROUND(J7+J24+J54+J58,0)</f>
        <v>2031924</v>
      </c>
      <c r="K129" s="608">
        <f>J129/I129*100</f>
        <v>98.998769290134732</v>
      </c>
      <c r="L129" s="714"/>
      <c r="M129" s="610"/>
      <c r="N129" s="610"/>
      <c r="O129" s="610"/>
      <c r="P129" s="610"/>
      <c r="Q129" s="610"/>
      <c r="R129" s="610"/>
      <c r="S129" s="610"/>
      <c r="T129" s="610"/>
      <c r="U129" s="610"/>
      <c r="V129" s="610"/>
      <c r="W129" s="610"/>
      <c r="X129" s="610"/>
      <c r="Y129" s="610"/>
      <c r="Z129" s="610"/>
      <c r="AA129" s="610"/>
      <c r="AB129" s="610"/>
      <c r="AC129" s="610"/>
      <c r="AD129" s="610"/>
      <c r="AE129" s="610"/>
      <c r="AF129" s="610"/>
      <c r="AG129" s="610"/>
      <c r="AH129" s="610"/>
      <c r="AI129" s="610"/>
      <c r="AJ129" s="610"/>
      <c r="AK129" s="610"/>
      <c r="AL129" s="610"/>
      <c r="AM129" s="610"/>
      <c r="AN129" s="610"/>
      <c r="AO129" s="610"/>
      <c r="AP129" s="610"/>
      <c r="AQ129" s="610"/>
      <c r="AR129" s="610"/>
      <c r="AS129" s="610"/>
      <c r="AT129" s="610"/>
      <c r="AU129" s="610"/>
      <c r="AV129" s="610"/>
      <c r="AW129" s="610"/>
      <c r="AX129" s="610"/>
      <c r="AY129" s="610"/>
      <c r="AZ129" s="610"/>
      <c r="BA129" s="610"/>
      <c r="BB129" s="610"/>
      <c r="BC129" s="610"/>
      <c r="BD129" s="610"/>
      <c r="BE129" s="610"/>
      <c r="BF129" s="610"/>
      <c r="BG129" s="610"/>
      <c r="BH129" s="610"/>
      <c r="BI129" s="610"/>
      <c r="BJ129" s="610"/>
      <c r="BK129" s="610"/>
      <c r="BL129" s="610"/>
      <c r="BM129" s="610"/>
      <c r="BN129" s="610"/>
      <c r="BO129" s="610"/>
      <c r="BP129" s="610"/>
      <c r="BQ129" s="610"/>
      <c r="BR129" s="610"/>
      <c r="BS129" s="610"/>
      <c r="BT129" s="610"/>
      <c r="BU129" s="610"/>
      <c r="BV129" s="610"/>
      <c r="BW129" s="610"/>
      <c r="BX129" s="610"/>
      <c r="BY129" s="610"/>
      <c r="BZ129" s="610"/>
      <c r="CA129" s="610"/>
      <c r="CB129" s="610"/>
      <c r="CC129" s="610"/>
      <c r="CD129" s="610"/>
      <c r="CE129" s="610"/>
      <c r="CF129" s="610"/>
    </row>
    <row r="130" spans="1:84">
      <c r="A130" s="591"/>
      <c r="B130" s="600"/>
      <c r="D130" s="646"/>
      <c r="E130" s="309"/>
      <c r="F130" s="309"/>
      <c r="G130" s="398"/>
      <c r="H130" s="616"/>
      <c r="I130" s="616"/>
      <c r="J130" s="616"/>
      <c r="K130" s="309"/>
    </row>
    <row r="131" spans="1:84">
      <c r="D131" s="647"/>
      <c r="E131" s="402"/>
      <c r="F131" s="402"/>
      <c r="H131" s="403"/>
      <c r="I131" s="403"/>
      <c r="J131" s="403"/>
    </row>
    <row r="132" spans="1:84">
      <c r="D132" s="646"/>
      <c r="H132" s="403"/>
      <c r="I132" s="403"/>
      <c r="J132" s="403"/>
    </row>
    <row r="133" spans="1:84">
      <c r="D133" s="648"/>
      <c r="E133" s="649"/>
      <c r="F133" s="405"/>
      <c r="H133" s="403"/>
      <c r="I133" s="403"/>
      <c r="J133" s="403"/>
    </row>
    <row r="134" spans="1:84">
      <c r="D134" s="650"/>
      <c r="E134" s="651"/>
      <c r="H134" s="403"/>
      <c r="I134" s="403"/>
      <c r="J134" s="403"/>
    </row>
    <row r="135" spans="1:84">
      <c r="D135" s="646"/>
    </row>
    <row r="136" spans="1:84">
      <c r="D136" s="646"/>
    </row>
    <row r="137" spans="1:84">
      <c r="D137" s="646"/>
    </row>
    <row r="138" spans="1:84">
      <c r="D138" s="646"/>
    </row>
    <row r="139" spans="1:84">
      <c r="D139" s="646"/>
    </row>
    <row r="140" spans="1:84">
      <c r="D140" s="646"/>
    </row>
    <row r="141" spans="1:84">
      <c r="D141" s="646"/>
      <c r="H141" s="617"/>
      <c r="I141" s="617"/>
      <c r="J141" s="617"/>
      <c r="K141" s="617"/>
    </row>
    <row r="142" spans="1:84">
      <c r="D142" s="646"/>
      <c r="H142" s="617"/>
      <c r="I142" s="617"/>
      <c r="J142" s="617"/>
      <c r="K142" s="617"/>
    </row>
    <row r="143" spans="1:84">
      <c r="D143" s="646"/>
      <c r="H143" s="618"/>
      <c r="I143" s="618"/>
      <c r="J143" s="618"/>
    </row>
    <row r="144" spans="1:84">
      <c r="D144" s="646"/>
    </row>
    <row r="145" spans="4:4">
      <c r="D145" s="646"/>
    </row>
    <row r="146" spans="4:4">
      <c r="D146" s="646"/>
    </row>
    <row r="147" spans="4:4">
      <c r="D147" s="646"/>
    </row>
  </sheetData>
  <mergeCells count="5">
    <mergeCell ref="A1:K2"/>
    <mergeCell ref="A4:A5"/>
    <mergeCell ref="B4:B5"/>
    <mergeCell ref="C4:G4"/>
    <mergeCell ref="H4:K4"/>
  </mergeCells>
  <pageMargins left="0.11811023622047245" right="0.11811023622047245" top="0.15748031496062992" bottom="0.15748031496062992" header="0.31496062992125984" footer="0.31496062992125984"/>
  <pageSetup paperSize="9" scale="48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п.2.10.</vt:lpstr>
      <vt:lpstr>Свод 6 мес 2021</vt:lpstr>
      <vt:lpstr>Свод 9 мес 2021 </vt:lpstr>
      <vt:lpstr>Свод за 2021 год</vt:lpstr>
      <vt:lpstr>Ларисе 2020 год</vt:lpstr>
      <vt:lpstr>Ларисе 2021 год</vt:lpstr>
      <vt:lpstr>Ларисе 2021 год (в работу)</vt:lpstr>
      <vt:lpstr>Ларисе 2021 год </vt:lpstr>
      <vt:lpstr>Ларисе 2022 год </vt:lpstr>
      <vt:lpstr>Ларисе 2022 год (в работу)</vt:lpstr>
      <vt:lpstr>п.2.10.!Заголовки_для_печати</vt:lpstr>
      <vt:lpstr>п.2.10.!Область_печати</vt:lpstr>
      <vt:lpstr>'Свод 6 мес 2021'!Область_печати</vt:lpstr>
      <vt:lpstr>'Свод 9 мес 2021 '!Область_печати</vt:lpstr>
      <vt:lpstr>'Свод за 2021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2024-04-02T12:11:04Z</cp:lastPrinted>
  <dcterms:created xsi:type="dcterms:W3CDTF">2016-11-01T06:46:25Z</dcterms:created>
  <dcterms:modified xsi:type="dcterms:W3CDTF">2024-04-02T12:11:40Z</dcterms:modified>
</cp:coreProperties>
</file>