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45" windowWidth="19320" windowHeight="11025"/>
  </bookViews>
  <sheets>
    <sheet name="2021 год " sheetId="20" r:id="rId1"/>
  </sheets>
  <definedNames>
    <definedName name="_xlnm.Print_Area" localSheetId="0">'2021 год '!$A$1:$CF$136</definedName>
  </definedNames>
  <calcPr calcId="125725"/>
</workbook>
</file>

<file path=xl/calcChain.xml><?xml version="1.0" encoding="utf-8"?>
<calcChain xmlns="http://schemas.openxmlformats.org/spreadsheetml/2006/main">
  <c r="E95" i="20"/>
  <c r="F95"/>
  <c r="E91"/>
  <c r="F91"/>
  <c r="E87"/>
  <c r="F87"/>
  <c r="E83"/>
  <c r="F83"/>
  <c r="E79"/>
  <c r="F79"/>
  <c r="E71" l="1"/>
  <c r="F71"/>
  <c r="E65"/>
  <c r="F65"/>
  <c r="F60"/>
  <c r="E60"/>
  <c r="E108"/>
  <c r="F108"/>
  <c r="G60" l="1"/>
  <c r="K106"/>
  <c r="G90"/>
  <c r="G81"/>
  <c r="G75"/>
  <c r="G72"/>
  <c r="I126"/>
  <c r="H126"/>
  <c r="J125"/>
  <c r="I125"/>
  <c r="H125"/>
  <c r="F125"/>
  <c r="E125"/>
  <c r="K123"/>
  <c r="G123"/>
  <c r="K122"/>
  <c r="G122"/>
  <c r="K121"/>
  <c r="G121"/>
  <c r="K120"/>
  <c r="G120"/>
  <c r="J119"/>
  <c r="J118" s="1"/>
  <c r="I119"/>
  <c r="G119"/>
  <c r="I118"/>
  <c r="H118"/>
  <c r="F118"/>
  <c r="G118" s="1"/>
  <c r="E118"/>
  <c r="D118"/>
  <c r="J117"/>
  <c r="K117" s="1"/>
  <c r="I117"/>
  <c r="G117"/>
  <c r="J116"/>
  <c r="K116" s="1"/>
  <c r="I116"/>
  <c r="G116"/>
  <c r="J115"/>
  <c r="K115" s="1"/>
  <c r="I115"/>
  <c r="G115"/>
  <c r="J114"/>
  <c r="K114" s="1"/>
  <c r="I114"/>
  <c r="G114"/>
  <c r="J113"/>
  <c r="K113" s="1"/>
  <c r="I113"/>
  <c r="G113"/>
  <c r="J112"/>
  <c r="K112" s="1"/>
  <c r="I112"/>
  <c r="H112"/>
  <c r="F112"/>
  <c r="G112" s="1"/>
  <c r="E112"/>
  <c r="D112"/>
  <c r="J111"/>
  <c r="K111" s="1"/>
  <c r="I111"/>
  <c r="H111"/>
  <c r="G111"/>
  <c r="J110"/>
  <c r="I110"/>
  <c r="H110"/>
  <c r="G110"/>
  <c r="I109"/>
  <c r="J109" s="1"/>
  <c r="H109"/>
  <c r="G109"/>
  <c r="G108"/>
  <c r="D108"/>
  <c r="K107"/>
  <c r="H107"/>
  <c r="G107"/>
  <c r="H106"/>
  <c r="H104" s="1"/>
  <c r="G106"/>
  <c r="E104"/>
  <c r="E103" s="1"/>
  <c r="J105"/>
  <c r="K105" s="1"/>
  <c r="H105"/>
  <c r="G105"/>
  <c r="I104"/>
  <c r="F104"/>
  <c r="D104"/>
  <c r="D103"/>
  <c r="K102"/>
  <c r="G102"/>
  <c r="J101"/>
  <c r="I101"/>
  <c r="H101"/>
  <c r="F101"/>
  <c r="G101" s="1"/>
  <c r="E101"/>
  <c r="D101"/>
  <c r="J100"/>
  <c r="J99" s="1"/>
  <c r="I100"/>
  <c r="I99" s="1"/>
  <c r="G100"/>
  <c r="E99"/>
  <c r="H99"/>
  <c r="F99"/>
  <c r="D99"/>
  <c r="K98"/>
  <c r="G98"/>
  <c r="K97"/>
  <c r="G97"/>
  <c r="K96"/>
  <c r="G96"/>
  <c r="J95"/>
  <c r="I95"/>
  <c r="H95"/>
  <c r="G95"/>
  <c r="D95"/>
  <c r="K94"/>
  <c r="G94"/>
  <c r="K93"/>
  <c r="G93"/>
  <c r="K92"/>
  <c r="G92"/>
  <c r="J91"/>
  <c r="K91" s="1"/>
  <c r="I91"/>
  <c r="H91"/>
  <c r="G91"/>
  <c r="D91"/>
  <c r="K90"/>
  <c r="K89"/>
  <c r="G89"/>
  <c r="K88"/>
  <c r="G88"/>
  <c r="J87"/>
  <c r="I87"/>
  <c r="H87"/>
  <c r="G87"/>
  <c r="D87"/>
  <c r="K86"/>
  <c r="G86"/>
  <c r="K85"/>
  <c r="G85"/>
  <c r="K84"/>
  <c r="G84"/>
  <c r="J83"/>
  <c r="I83"/>
  <c r="I78" s="1"/>
  <c r="H83"/>
  <c r="G83"/>
  <c r="E78"/>
  <c r="D83"/>
  <c r="K82"/>
  <c r="G82"/>
  <c r="K81"/>
  <c r="K80"/>
  <c r="G80"/>
  <c r="J79"/>
  <c r="K79" s="1"/>
  <c r="I79"/>
  <c r="H79"/>
  <c r="H78" s="1"/>
  <c r="G79"/>
  <c r="D79"/>
  <c r="D78" s="1"/>
  <c r="K77"/>
  <c r="K76"/>
  <c r="G76"/>
  <c r="K75"/>
  <c r="J74"/>
  <c r="I74"/>
  <c r="K74" s="1"/>
  <c r="G74"/>
  <c r="K73"/>
  <c r="G73"/>
  <c r="K72"/>
  <c r="J71"/>
  <c r="I71"/>
  <c r="H71"/>
  <c r="G71"/>
  <c r="D71"/>
  <c r="K70"/>
  <c r="G70"/>
  <c r="J69"/>
  <c r="I69"/>
  <c r="H69"/>
  <c r="H65" s="1"/>
  <c r="G69"/>
  <c r="K68"/>
  <c r="G68"/>
  <c r="J67"/>
  <c r="I67"/>
  <c r="K67" s="1"/>
  <c r="G67"/>
  <c r="K66"/>
  <c r="G66"/>
  <c r="J65"/>
  <c r="G65"/>
  <c r="D65"/>
  <c r="K64"/>
  <c r="G64"/>
  <c r="J63"/>
  <c r="K63" s="1"/>
  <c r="I63"/>
  <c r="I60" s="1"/>
  <c r="G63"/>
  <c r="K62"/>
  <c r="G62"/>
  <c r="K61"/>
  <c r="G61"/>
  <c r="H60"/>
  <c r="D60"/>
  <c r="D59" s="1"/>
  <c r="D58"/>
  <c r="H57"/>
  <c r="K56"/>
  <c r="G56"/>
  <c r="J55"/>
  <c r="I55"/>
  <c r="K55" s="1"/>
  <c r="H55"/>
  <c r="F55"/>
  <c r="E55"/>
  <c r="G55" s="1"/>
  <c r="D55"/>
  <c r="J54"/>
  <c r="I54"/>
  <c r="K54" s="1"/>
  <c r="H54"/>
  <c r="F54"/>
  <c r="E54"/>
  <c r="G54" s="1"/>
  <c r="D54"/>
  <c r="H53"/>
  <c r="K52"/>
  <c r="G52"/>
  <c r="K51"/>
  <c r="G51"/>
  <c r="K50"/>
  <c r="G50"/>
  <c r="K49"/>
  <c r="G49"/>
  <c r="K48"/>
  <c r="G48"/>
  <c r="K47"/>
  <c r="G47"/>
  <c r="K46"/>
  <c r="G46"/>
  <c r="K45"/>
  <c r="F45"/>
  <c r="E45"/>
  <c r="G45" s="1"/>
  <c r="K44"/>
  <c r="F44"/>
  <c r="E44"/>
  <c r="G44" s="1"/>
  <c r="K43"/>
  <c r="F43"/>
  <c r="E43"/>
  <c r="G43" s="1"/>
  <c r="J42"/>
  <c r="I42"/>
  <c r="H42"/>
  <c r="F42"/>
  <c r="D42"/>
  <c r="K41"/>
  <c r="G41"/>
  <c r="K40"/>
  <c r="G40"/>
  <c r="K39"/>
  <c r="F39"/>
  <c r="E39"/>
  <c r="G39" s="1"/>
  <c r="K38"/>
  <c r="F38"/>
  <c r="E38"/>
  <c r="G38" s="1"/>
  <c r="K37"/>
  <c r="F37"/>
  <c r="E37"/>
  <c r="G37" s="1"/>
  <c r="K36"/>
  <c r="F36"/>
  <c r="E36"/>
  <c r="G36" s="1"/>
  <c r="K35"/>
  <c r="F35"/>
  <c r="E35"/>
  <c r="G35" s="1"/>
  <c r="K34"/>
  <c r="F34"/>
  <c r="E34"/>
  <c r="G34" s="1"/>
  <c r="J33"/>
  <c r="J32" s="1"/>
  <c r="I33"/>
  <c r="I32" s="1"/>
  <c r="I24" s="1"/>
  <c r="H33"/>
  <c r="F33"/>
  <c r="D33"/>
  <c r="F32"/>
  <c r="D32"/>
  <c r="K31"/>
  <c r="G31"/>
  <c r="K30"/>
  <c r="G30"/>
  <c r="K29"/>
  <c r="G29"/>
  <c r="K28"/>
  <c r="G28"/>
  <c r="K27"/>
  <c r="G27"/>
  <c r="J26"/>
  <c r="I26"/>
  <c r="K26" s="1"/>
  <c r="H26"/>
  <c r="F26"/>
  <c r="F25" s="1"/>
  <c r="G25" s="1"/>
  <c r="E26"/>
  <c r="D26"/>
  <c r="D25" s="1"/>
  <c r="D24" s="1"/>
  <c r="J25"/>
  <c r="I25"/>
  <c r="K25" s="1"/>
  <c r="H25"/>
  <c r="E25"/>
  <c r="I23"/>
  <c r="H23"/>
  <c r="H17" s="1"/>
  <c r="H7" s="1"/>
  <c r="J22"/>
  <c r="I22"/>
  <c r="H22"/>
  <c r="G22"/>
  <c r="J21"/>
  <c r="K21" s="1"/>
  <c r="I21"/>
  <c r="G21"/>
  <c r="J20"/>
  <c r="K20" s="1"/>
  <c r="I20"/>
  <c r="G20"/>
  <c r="J19"/>
  <c r="K19" s="1"/>
  <c r="I19"/>
  <c r="G19"/>
  <c r="J18"/>
  <c r="K18" s="1"/>
  <c r="I18"/>
  <c r="G18"/>
  <c r="I17"/>
  <c r="F17"/>
  <c r="G17" s="1"/>
  <c r="E17"/>
  <c r="D17"/>
  <c r="I16"/>
  <c r="K16" s="1"/>
  <c r="H16"/>
  <c r="K15"/>
  <c r="G15"/>
  <c r="K14"/>
  <c r="G14"/>
  <c r="K13"/>
  <c r="G13"/>
  <c r="K12"/>
  <c r="G12"/>
  <c r="K11"/>
  <c r="G11"/>
  <c r="K10"/>
  <c r="G10"/>
  <c r="J9"/>
  <c r="I9"/>
  <c r="H9"/>
  <c r="F9"/>
  <c r="E9"/>
  <c r="E8" s="1"/>
  <c r="D9"/>
  <c r="D8" s="1"/>
  <c r="D7" s="1"/>
  <c r="D127" s="1"/>
  <c r="J8"/>
  <c r="I8"/>
  <c r="I7" s="1"/>
  <c r="H8"/>
  <c r="E7"/>
  <c r="K99" l="1"/>
  <c r="K8"/>
  <c r="K9"/>
  <c r="J17"/>
  <c r="K17" s="1"/>
  <c r="K22"/>
  <c r="G26"/>
  <c r="E33"/>
  <c r="E32" s="1"/>
  <c r="E24" s="1"/>
  <c r="E42"/>
  <c r="K42"/>
  <c r="J60"/>
  <c r="I65"/>
  <c r="K65" s="1"/>
  <c r="K69"/>
  <c r="K71"/>
  <c r="G99"/>
  <c r="K101"/>
  <c r="J104"/>
  <c r="K104" s="1"/>
  <c r="H108"/>
  <c r="H103" s="1"/>
  <c r="K110"/>
  <c r="K119"/>
  <c r="G9"/>
  <c r="F8"/>
  <c r="G8" s="1"/>
  <c r="G7" s="1"/>
  <c r="G33"/>
  <c r="G42"/>
  <c r="H32"/>
  <c r="H24" s="1"/>
  <c r="G104"/>
  <c r="F103"/>
  <c r="G103" s="1"/>
  <c r="E59"/>
  <c r="K95"/>
  <c r="H59"/>
  <c r="H58" s="1"/>
  <c r="H127" s="1"/>
  <c r="K87"/>
  <c r="K118"/>
  <c r="K109"/>
  <c r="J108"/>
  <c r="K60"/>
  <c r="I59"/>
  <c r="K32"/>
  <c r="J24"/>
  <c r="K24" s="1"/>
  <c r="F24"/>
  <c r="F78"/>
  <c r="J78"/>
  <c r="K78" s="1"/>
  <c r="K83"/>
  <c r="I108"/>
  <c r="I103" s="1"/>
  <c r="F7"/>
  <c r="J7"/>
  <c r="K33"/>
  <c r="J59"/>
  <c r="K100"/>
  <c r="G24" l="1"/>
  <c r="G32"/>
  <c r="E58"/>
  <c r="E127" s="1"/>
  <c r="G78"/>
  <c r="G77" s="1"/>
  <c r="F59"/>
  <c r="F58" s="1"/>
  <c r="K7"/>
  <c r="J103"/>
  <c r="K103" s="1"/>
  <c r="K108"/>
  <c r="K59"/>
  <c r="I58"/>
  <c r="J58" l="1"/>
  <c r="J127" s="1"/>
  <c r="G58"/>
  <c r="G59"/>
  <c r="K58"/>
  <c r="I127"/>
  <c r="F127" l="1"/>
  <c r="G127" s="1"/>
  <c r="K127"/>
</calcChain>
</file>

<file path=xl/sharedStrings.xml><?xml version="1.0" encoding="utf-8"?>
<sst xmlns="http://schemas.openxmlformats.org/spreadsheetml/2006/main" count="247" uniqueCount="148">
  <si>
    <t>№ п/п</t>
  </si>
  <si>
    <t>Наименование</t>
  </si>
  <si>
    <t>Показатель объёма муниципальной услуги (единица измерения)</t>
  </si>
  <si>
    <t>человеко-часы</t>
  </si>
  <si>
    <t>человек</t>
  </si>
  <si>
    <t>Реализация дополнительных предпрофессиональных программ в области физической культуры и спорта</t>
  </si>
  <si>
    <t>национальные виды спорта</t>
  </si>
  <si>
    <t>сложно-координационные  виды спорта</t>
  </si>
  <si>
    <t>спортивные единоборства</t>
  </si>
  <si>
    <t>циклические, скоростно-силовые виды спорта и многоборья</t>
  </si>
  <si>
    <t>Организация и проведение официальных физкультурных (физкультурно-оздоровительных) мероприятий</t>
  </si>
  <si>
    <t>Организация мероприятий по подготовке спортивных сборных команд</t>
  </si>
  <si>
    <t xml:space="preserve">игровые виды спорта </t>
  </si>
  <si>
    <t>Организация отдыха детей и молодёжи</t>
  </si>
  <si>
    <t>МАУ ДО "ДЮСШ "Старт"</t>
  </si>
  <si>
    <t>Организация и проведение физкультурных и спортивных мероприятий в рамках Всероссийского физкультурно спортивного комплекса "Готов к труду и обороне" (ГТО) (за исключением тестирования выполнения нормативов испытаний комплекса ГТО)</t>
  </si>
  <si>
    <t>Проведение тестирования выполнения нормативов испытаний (тестов) комплекса ГТО</t>
  </si>
  <si>
    <t>МАУ  "СШ "Старт"</t>
  </si>
  <si>
    <t xml:space="preserve">Проведение занятий физкультурно-спортивной направленности по месту проживания граждан </t>
  </si>
  <si>
    <t>Спортивная подготовка по олимпийским видам спорта</t>
  </si>
  <si>
    <t>дзюдо</t>
  </si>
  <si>
    <t xml:space="preserve">плавание </t>
  </si>
  <si>
    <t>гандбол</t>
  </si>
  <si>
    <t>биатлон</t>
  </si>
  <si>
    <t>бокс</t>
  </si>
  <si>
    <t>футбол</t>
  </si>
  <si>
    <t>хоккей</t>
  </si>
  <si>
    <t>Спортивная подготовка по неолимпийским видам спорта</t>
  </si>
  <si>
    <t>спортивная акробатика</t>
  </si>
  <si>
    <t>северное многоборье</t>
  </si>
  <si>
    <t>пауэрлифтинг</t>
  </si>
  <si>
    <t>самбо</t>
  </si>
  <si>
    <t xml:space="preserve">число обучающихся </t>
  </si>
  <si>
    <t>Предоставление питания</t>
  </si>
  <si>
    <t>4.1.</t>
  </si>
  <si>
    <t>Численность отдельной категории обучающихся (Закон ХМАО-Югры от 30.01.2016 №4-оз )</t>
  </si>
  <si>
    <t>(1-4 классы)</t>
  </si>
  <si>
    <t>(5-9 классы)</t>
  </si>
  <si>
    <t>(10-11 классы)</t>
  </si>
  <si>
    <t>4.2.</t>
  </si>
  <si>
    <t>Численность обучающихся с ограниченными возможностями здоровья, обучающихся на дому (Постановление от 04.03.2016 №59-п)</t>
  </si>
  <si>
    <t>4.3.</t>
  </si>
  <si>
    <t>Численность обучающихся, получающих одноразовое питание, родители которых заключили договоры об организации питания (Поставновление администрации города Урай  от 28.01.2019 №150)</t>
  </si>
  <si>
    <t>4.4.</t>
  </si>
  <si>
    <t>Численность обучающихся начальных классов с 1 по 4 классы (Поставновление от 04.03.2016 №59-п, Постановление администрации города Урай  от 28.01.2020 №150)</t>
  </si>
  <si>
    <t>количество человек</t>
  </si>
  <si>
    <t>Реализация дополнительных общеразвивающих программ</t>
  </si>
  <si>
    <t>очная</t>
  </si>
  <si>
    <t>проведение промежуточной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</t>
  </si>
  <si>
    <t xml:space="preserve">Присмотр и уход </t>
  </si>
  <si>
    <t>число детей</t>
  </si>
  <si>
    <t>Физические лица за исключением льготной категории Посещаемость детьми</t>
  </si>
  <si>
    <t>Дети-инвалиды</t>
  </si>
  <si>
    <t>Дети - сироты</t>
  </si>
  <si>
    <t>2.</t>
  </si>
  <si>
    <t>Реализация основных общеобразовательных программ дошкольного образования</t>
  </si>
  <si>
    <t>2.1.</t>
  </si>
  <si>
    <t>от1 года до 3 лет</t>
  </si>
  <si>
    <t>2.2.</t>
  </si>
  <si>
    <t>от 3 лет до 8 лет</t>
  </si>
  <si>
    <t>адаптированная образовательная программа с обучающимися с ограниченными возможностями здоровья (ОВЗ) от 3 лет до 8 лет</t>
  </si>
  <si>
    <t>МБУ ДО "ЦДО"</t>
  </si>
  <si>
    <t>Организация отдыха детей и молодежи</t>
  </si>
  <si>
    <t>Организация досуга детей, подростков и молодежи</t>
  </si>
  <si>
    <t>Количество мероприятий (единица)</t>
  </si>
  <si>
    <t>Организация мероприятий в сфере молодежной политики, направленных на формирование системы развития талантливой и иинициативной молодежи, создание условий для сомореализации подросткой и молодежи, развитие творческого, профессионального и интеллектуального потенциала подростков и молодежи</t>
  </si>
  <si>
    <t>Число детей (человек)</t>
  </si>
  <si>
    <t>количество мероприятий/единиц</t>
  </si>
  <si>
    <t>Организация мероприятий в сфере молодежной политики, направленных на вовлечение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</si>
  <si>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МАУ "Ресурсный центр системы образования"</t>
  </si>
  <si>
    <t>Организация проведения общественно- значимых мероприятий в сфере образования, науки и молодежной политики</t>
  </si>
  <si>
    <t>Информационно-технологическое обеспечение управления системой образования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</si>
  <si>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социально-опасном положении</t>
  </si>
  <si>
    <t>Формирование бюджетной отчестности для главного распорядителя, распорядителя бюджетных средств, уполномоченного на формирование сводных и консолидированных форм отчетности</t>
  </si>
  <si>
    <t>количество отчетов, подлежащих своду / единица</t>
  </si>
  <si>
    <t xml:space="preserve">Реализация основных общеобразовательных программ начального общего образования </t>
  </si>
  <si>
    <t>очная (1-4 классы)</t>
  </si>
  <si>
    <t>проходящие обучение по состоянию здоровья на дому, очная (1-4 классы)</t>
  </si>
  <si>
    <t xml:space="preserve">Реализация основных общеобразовательных программ основного общего образования </t>
  </si>
  <si>
    <t>очная (5-9 классы)</t>
  </si>
  <si>
    <t xml:space="preserve">Реализация основных общеобразовательных программ среднего общего образования </t>
  </si>
  <si>
    <t>очная (10-11 классы)</t>
  </si>
  <si>
    <t>в каникулярное время с дневным  пребыванием</t>
  </si>
  <si>
    <t xml:space="preserve">народные инструменты </t>
  </si>
  <si>
    <t>фортепиано</t>
  </si>
  <si>
    <t>хореографическое творчество</t>
  </si>
  <si>
    <t>духовые и ударные инструменты</t>
  </si>
  <si>
    <t>живопись</t>
  </si>
  <si>
    <t>МАУ "Культура"</t>
  </si>
  <si>
    <t>Создание экспозиций (выставок) музеев, организация выездных выставок</t>
  </si>
  <si>
    <t>количество экспозиций</t>
  </si>
  <si>
    <t>Библиотечное, библиографическое и информационное обслуживание пользователей библиотеки</t>
  </si>
  <si>
    <t>количество посещений</t>
  </si>
  <si>
    <t>Организация деятельности клубных формирований и формирований самодеятельности народного творчества</t>
  </si>
  <si>
    <t>количество клубных формирований</t>
  </si>
  <si>
    <t>Предоставление информационной и консультационной поддержки некоммерческим организациям, социально ориентированным некоммерческих организаций и территориальным общественным самоуправлениям</t>
  </si>
  <si>
    <t>МБУ "Газета Знамя"</t>
  </si>
  <si>
    <t>Осуществление издательской деятельности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</si>
  <si>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 , культурных  и нравственных ценностей среди молодежи</t>
  </si>
  <si>
    <t>кол-во физических лиц, обратившихся за  услугой</t>
  </si>
  <si>
    <t>кол-во юридических лиц, обратившихся за  услугой</t>
  </si>
  <si>
    <t>фигурное катаное на коньках</t>
  </si>
  <si>
    <t>проходящие обучение по состоянию здоровья на дому, очная (5-9 классы)</t>
  </si>
  <si>
    <t>авиамодельный спорт</t>
  </si>
  <si>
    <t>Количество составленных отчетов (единица)</t>
  </si>
  <si>
    <t>Объем муниципальных услуг (работ)</t>
  </si>
  <si>
    <t>Объем субсидий на выполнение муниципальных заданий на оказание муниципальных услуг (выполнение работ), тыс.рублей</t>
  </si>
  <si>
    <t xml:space="preserve">Скорректированный план на год               </t>
  </si>
  <si>
    <t>% исполнения</t>
  </si>
  <si>
    <t>1.</t>
  </si>
  <si>
    <t>Муниципальная программа "Культура города Урай" на 2017-2021 годы</t>
  </si>
  <si>
    <t>Реализация дополнительных  предпрофессиональных общеобразовательных программ в области искусств</t>
  </si>
  <si>
    <t xml:space="preserve">струнные инструменты </t>
  </si>
  <si>
    <t>Безвозмездные перечисления государственным и муниципальным организациям (241) (нераспределенные по КОСГУ)</t>
  </si>
  <si>
    <t>3.</t>
  </si>
  <si>
    <t xml:space="preserve"> Муниципальная программа "Информационное общество - Урай" на 2019-2030 годы</t>
  </si>
  <si>
    <t>Объем тиража (штук газет)</t>
  </si>
  <si>
    <t>4.</t>
  </si>
  <si>
    <t>Муниципальная программа "Развитие образования и молодежной политики в городе Урай" на 2019-2030 годы</t>
  </si>
  <si>
    <t>Свод по школам:</t>
  </si>
  <si>
    <t>Свод по детским садам:</t>
  </si>
  <si>
    <t xml:space="preserve">Итого: </t>
  </si>
  <si>
    <t>Первоначально утвержденное плановое значение на 2021 год</t>
  </si>
  <si>
    <t xml:space="preserve">Информация об исполнении муниципальных заданий муниципальными учреждениями города Урай за 2021 год                                 </t>
  </si>
  <si>
    <t>Исполнение               за 2021 год</t>
  </si>
  <si>
    <t>МБУ ДО "ДШИ"</t>
  </si>
  <si>
    <t xml:space="preserve">количество человеко-часов (человеко-час)  </t>
  </si>
  <si>
    <t>число лиц, прошедших спортивную подготовку на этапах спортивной подготовки (человек)</t>
  </si>
  <si>
    <t>количество человек (человек)</t>
  </si>
  <si>
    <t>количество мероприятий (штука)</t>
  </si>
  <si>
    <t>количество спортивно-массовых и физкультурно-оздоровительных мероприятий (единица)</t>
  </si>
  <si>
    <t>Организация отдыха детей и молодежи в каникулярное время с дневным  пребыванием</t>
  </si>
  <si>
    <t>число промежуточных аттестаций</t>
  </si>
  <si>
    <t>адаптированная образовательная программа, обучающиеся с ограниченными возможностями здоровья (ОВЗ),  очная (1-4 классы)</t>
  </si>
  <si>
    <t>адаптированная образовательная программа, обучающиеся с ограниченными возможностями здоровья (ОВЗ), проходящие обучение по состоянию здоровья на дому, очная (1-4 классы)</t>
  </si>
  <si>
    <t>адаптированная образовательная программа, обучающиеся с ограниченными возможностями здоровья (ОВЗ),  очная (5-9 классы)</t>
  </si>
  <si>
    <t>адаптированная образовательная программа, обучающиеся с ограниченными возможностями здоровья (ОВЗ), проходящие обучение по состоянию здоровья на дому,  очная  (5-9 классы)</t>
  </si>
  <si>
    <t>образовательная программа, обеспечивающая углубленное изучение отдельных учебных предметов, предметных областей (профильное обучение),очная (5-9 классы)</t>
  </si>
  <si>
    <t>адаптированная образовательная программа, обучающиеся с ограниченными возможностями здоровья (ОВЗ),  очная (10-11 классы)</t>
  </si>
  <si>
    <t>адаптированная образовательная программа, обучающиеся с ограниченными возможностями здоровья (ОВЗ),  проходящие обучение по состоянию здоровья на дому, очная (10-11 классы)</t>
  </si>
  <si>
    <t>образовательная программа, обеспечивающая углубленное изучение отдельных учебных предметов, предметных областей (профильное обучение), очная (10-11 классы)</t>
  </si>
  <si>
    <t>образовательная программа, обеспечивающая углубленное изучение отдельных учебных предметов, предметных областей (профильное обучение), проходящие обучение по состоянию здоровья на дому, очная (10-11 классы)</t>
  </si>
  <si>
    <t>Численность обучающихся , получающих двухразовое питание, родители которых заключили договоры об организации питания (Постановление администрации города Урай от 28.01.2019 №150)</t>
  </si>
  <si>
    <t xml:space="preserve">Организация отдыха детей и молодёжи в каникулярное время с дневным  пребыванием </t>
  </si>
  <si>
    <t>1.1.</t>
  </si>
  <si>
    <t>1.2.</t>
  </si>
  <si>
    <t>3.1.</t>
  </si>
  <si>
    <t>Муниципальная программа "Развитие физической культуры, спорта и туризма в городе Урай и укрепление здоровья граждан города Урай" на 2019-2030 годы</t>
  </si>
</sst>
</file>

<file path=xl/styles.xml><?xml version="1.0" encoding="utf-8"?>
<styleSheet xmlns="http://schemas.openxmlformats.org/spreadsheetml/2006/main">
  <numFmts count="15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.0_);_(* \(#,##0.0\);_(* &quot;-&quot;??_);_(@_)"/>
    <numFmt numFmtId="167" formatCode="_-* #,##0.0_р_._-;\-* #,##0.0_р_._-;_-* &quot;-&quot;?_р_._-;_-@_-"/>
    <numFmt numFmtId="168" formatCode="_(* #,##0_);_(* \(#,##0\);_(* &quot;-&quot;??_);_(@_)"/>
    <numFmt numFmtId="169" formatCode="_-* #,##0_р_._-;\-* #,##0_р_._-;_-* &quot;-&quot;?_р_._-;_-@_-"/>
    <numFmt numFmtId="170" formatCode="#,##0.0"/>
    <numFmt numFmtId="171" formatCode="#,##0\ _₽"/>
    <numFmt numFmtId="172" formatCode="#,##0.0_ ;\-#,##0.0\ "/>
    <numFmt numFmtId="173" formatCode="_-* #,##0\ _₽_-;\-* #,##0\ _₽_-;_-* &quot;-&quot;?\ _₽_-;_-@_-"/>
    <numFmt numFmtId="174" formatCode="_-* #,##0.0\ _₽_-;\-* #,##0.0\ _₽_-;_-* &quot;-&quot;?\ _₽_-;_-@_-"/>
    <numFmt numFmtId="175" formatCode="_-* #,##0.000_р_._-;\-* #,##0.000_р_._-;_-* &quot;-&quot;?_р_._-;_-@_-"/>
    <numFmt numFmtId="176" formatCode="_-* #,##0.00000_р_._-;\-* #,##0.00000_р_._-;_-* &quot;-&quot;???_р_._-;_-@_-"/>
  </numFmts>
  <fonts count="23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1" fillId="0" borderId="0"/>
  </cellStyleXfs>
  <cellXfs count="184">
    <xf numFmtId="0" fontId="0" fillId="0" borderId="0" xfId="0"/>
    <xf numFmtId="49" fontId="3" fillId="2" borderId="1" xfId="0" applyNumberFormat="1" applyFont="1" applyFill="1" applyBorder="1" applyAlignment="1">
      <alignment horizontal="left" wrapText="1" shrinkToFit="1"/>
    </xf>
    <xf numFmtId="166" fontId="3" fillId="2" borderId="1" xfId="1" applyNumberFormat="1" applyFont="1" applyFill="1" applyBorder="1" applyAlignment="1">
      <alignment horizontal="center"/>
    </xf>
    <xf numFmtId="41" fontId="3" fillId="2" borderId="1" xfId="1" applyNumberFormat="1" applyFont="1" applyFill="1" applyBorder="1"/>
    <xf numFmtId="49" fontId="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left" wrapText="1" shrinkToFit="1"/>
    </xf>
    <xf numFmtId="41" fontId="4" fillId="2" borderId="1" xfId="1" applyNumberFormat="1" applyFont="1" applyFill="1" applyBorder="1"/>
    <xf numFmtId="166" fontId="3" fillId="2" borderId="1" xfId="1" applyNumberFormat="1" applyFont="1" applyFill="1" applyBorder="1" applyAlignment="1">
      <alignment horizontal="center" vertical="center" wrapText="1"/>
    </xf>
    <xf numFmtId="41" fontId="4" fillId="2" borderId="1" xfId="0" applyNumberFormat="1" applyFont="1" applyFill="1" applyBorder="1" applyAlignment="1">
      <alignment wrapText="1"/>
    </xf>
    <xf numFmtId="166" fontId="4" fillId="2" borderId="1" xfId="1" applyNumberFormat="1" applyFont="1" applyFill="1" applyBorder="1" applyAlignment="1"/>
    <xf numFmtId="49" fontId="4" fillId="2" borderId="1" xfId="0" applyNumberFormat="1" applyFont="1" applyFill="1" applyBorder="1" applyAlignment="1">
      <alignment horizontal="right" wrapText="1" shrinkToFit="1"/>
    </xf>
    <xf numFmtId="0" fontId="3" fillId="2" borderId="1" xfId="0" applyNumberFormat="1" applyFont="1" applyFill="1" applyBorder="1" applyAlignment="1">
      <alignment horizontal="left" wrapText="1" shrinkToFit="1"/>
    </xf>
    <xf numFmtId="49" fontId="3" fillId="2" borderId="1" xfId="0" applyNumberFormat="1" applyFont="1" applyFill="1" applyBorder="1" applyAlignment="1">
      <alignment horizontal="left" vertical="center" wrapText="1" shrinkToFit="1"/>
    </xf>
    <xf numFmtId="166" fontId="3" fillId="2" borderId="1" xfId="1" applyNumberFormat="1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/>
    <xf numFmtId="168" fontId="3" fillId="2" borderId="1" xfId="1" applyNumberFormat="1" applyFont="1" applyFill="1" applyBorder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/>
    </xf>
    <xf numFmtId="41" fontId="3" fillId="2" borderId="1" xfId="1" applyNumberFormat="1" applyFont="1" applyFill="1" applyBorder="1" applyAlignment="1">
      <alignment horizontal="right"/>
    </xf>
    <xf numFmtId="41" fontId="4" fillId="2" borderId="1" xfId="1" applyNumberFormat="1" applyFont="1" applyFill="1" applyBorder="1" applyAlignment="1">
      <alignment horizontal="right"/>
    </xf>
    <xf numFmtId="166" fontId="4" fillId="2" borderId="1" xfId="1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left" wrapText="1" shrinkToFit="1"/>
    </xf>
    <xf numFmtId="166" fontId="5" fillId="2" borderId="1" xfId="1" applyNumberFormat="1" applyFont="1" applyFill="1" applyBorder="1" applyAlignment="1">
      <alignment horizontal="center" wrapText="1"/>
    </xf>
    <xf numFmtId="41" fontId="5" fillId="2" borderId="1" xfId="1" applyNumberFormat="1" applyFont="1" applyFill="1" applyBorder="1"/>
    <xf numFmtId="167" fontId="4" fillId="2" borderId="1" xfId="1" applyNumberFormat="1" applyFont="1" applyFill="1" applyBorder="1" applyAlignment="1"/>
    <xf numFmtId="41" fontId="6" fillId="2" borderId="1" xfId="0" applyNumberFormat="1" applyFont="1" applyFill="1" applyBorder="1" applyAlignment="1">
      <alignment wrapText="1"/>
    </xf>
    <xf numFmtId="41" fontId="5" fillId="2" borderId="1" xfId="0" applyNumberFormat="1" applyFont="1" applyFill="1" applyBorder="1" applyAlignment="1">
      <alignment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2" fillId="2" borderId="0" xfId="0" applyFont="1" applyFill="1"/>
    <xf numFmtId="0" fontId="14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49" fontId="14" fillId="2" borderId="1" xfId="0" applyNumberFormat="1" applyFont="1" applyFill="1" applyBorder="1" applyAlignment="1">
      <alignment horizontal="center"/>
    </xf>
    <xf numFmtId="168" fontId="12" fillId="2" borderId="1" xfId="1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right"/>
    </xf>
    <xf numFmtId="49" fontId="13" fillId="2" borderId="1" xfId="0" applyNumberFormat="1" applyFont="1" applyFill="1" applyBorder="1" applyAlignment="1">
      <alignment horizontal="right"/>
    </xf>
    <xf numFmtId="0" fontId="9" fillId="2" borderId="0" xfId="0" applyFont="1" applyFill="1"/>
    <xf numFmtId="49" fontId="15" fillId="2" borderId="1" xfId="0" applyNumberFormat="1" applyFont="1" applyFill="1" applyBorder="1" applyAlignment="1">
      <alignment horizontal="right"/>
    </xf>
    <xf numFmtId="0" fontId="11" fillId="2" borderId="0" xfId="0" applyFont="1" applyFill="1"/>
    <xf numFmtId="166" fontId="4" fillId="2" borderId="1" xfId="1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left" wrapText="1" shrinkToFit="1"/>
    </xf>
    <xf numFmtId="49" fontId="4" fillId="2" borderId="6" xfId="0" applyNumberFormat="1" applyFont="1" applyFill="1" applyBorder="1" applyAlignment="1">
      <alignment horizontal="left" wrapText="1" shrinkToFit="1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167" fontId="5" fillId="2" borderId="1" xfId="1" applyNumberFormat="1" applyFont="1" applyFill="1" applyBorder="1" applyAlignment="1">
      <alignment horizontal="center"/>
    </xf>
    <xf numFmtId="3" fontId="5" fillId="2" borderId="1" xfId="1" applyNumberFormat="1" applyFont="1" applyFill="1" applyBorder="1" applyAlignment="1">
      <alignment horizontal="right"/>
    </xf>
    <xf numFmtId="3" fontId="5" fillId="2" borderId="1" xfId="1" applyNumberFormat="1" applyFont="1" applyFill="1" applyBorder="1" applyAlignment="1"/>
    <xf numFmtId="171" fontId="4" fillId="2" borderId="1" xfId="0" applyNumberFormat="1" applyFont="1" applyFill="1" applyBorder="1" applyAlignment="1">
      <alignment wrapText="1" shrinkToFit="1"/>
    </xf>
    <xf numFmtId="171" fontId="4" fillId="2" borderId="1" xfId="1" applyNumberFormat="1" applyFont="1" applyFill="1" applyBorder="1" applyAlignment="1"/>
    <xf numFmtId="167" fontId="4" fillId="2" borderId="1" xfId="1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/>
    <xf numFmtId="169" fontId="5" fillId="2" borderId="1" xfId="1" applyNumberFormat="1" applyFont="1" applyFill="1" applyBorder="1" applyAlignment="1"/>
    <xf numFmtId="3" fontId="3" fillId="2" borderId="1" xfId="1" applyNumberFormat="1" applyFont="1" applyFill="1" applyBorder="1" applyAlignment="1"/>
    <xf numFmtId="167" fontId="5" fillId="2" borderId="1" xfId="1" applyNumberFormat="1" applyFont="1" applyFill="1" applyBorder="1" applyAlignment="1">
      <alignment horizontal="right"/>
    </xf>
    <xf numFmtId="167" fontId="5" fillId="2" borderId="1" xfId="1" applyNumberFormat="1" applyFont="1" applyFill="1" applyBorder="1" applyAlignment="1"/>
    <xf numFmtId="49" fontId="3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/>
    <xf numFmtId="3" fontId="3" fillId="2" borderId="1" xfId="0" applyNumberFormat="1" applyFont="1" applyFill="1" applyBorder="1" applyAlignment="1"/>
    <xf numFmtId="49" fontId="9" fillId="2" borderId="1" xfId="0" applyNumberFormat="1" applyFont="1" applyFill="1" applyBorder="1" applyAlignment="1">
      <alignment horizontal="left" vertical="center" wrapText="1" shrinkToFit="1"/>
    </xf>
    <xf numFmtId="166" fontId="5" fillId="2" borderId="1" xfId="1" applyNumberFormat="1" applyFont="1" applyFill="1" applyBorder="1" applyAlignment="1"/>
    <xf numFmtId="166" fontId="6" fillId="2" borderId="1" xfId="1" applyNumberFormat="1" applyFont="1" applyFill="1" applyBorder="1" applyAlignment="1"/>
    <xf numFmtId="166" fontId="12" fillId="2" borderId="4" xfId="1" applyNumberFormat="1" applyFont="1" applyFill="1" applyBorder="1" applyAlignment="1">
      <alignment horizontal="center" wrapText="1"/>
    </xf>
    <xf numFmtId="166" fontId="5" fillId="2" borderId="4" xfId="1" applyNumberFormat="1" applyFont="1" applyFill="1" applyBorder="1" applyAlignment="1"/>
    <xf numFmtId="49" fontId="5" fillId="2" borderId="1" xfId="0" applyNumberFormat="1" applyFont="1" applyFill="1" applyBorder="1" applyAlignment="1">
      <alignment horizontal="center"/>
    </xf>
    <xf numFmtId="41" fontId="5" fillId="2" borderId="1" xfId="1" applyNumberFormat="1" applyFont="1" applyFill="1" applyBorder="1" applyAlignment="1"/>
    <xf numFmtId="167" fontId="3" fillId="2" borderId="1" xfId="1" applyNumberFormat="1" applyFont="1" applyFill="1" applyBorder="1" applyAlignment="1"/>
    <xf numFmtId="49" fontId="9" fillId="2" borderId="1" xfId="0" applyNumberFormat="1" applyFont="1" applyFill="1" applyBorder="1" applyAlignment="1">
      <alignment horizontal="left" wrapText="1" shrinkToFit="1"/>
    </xf>
    <xf numFmtId="49" fontId="9" fillId="2" borderId="4" xfId="0" applyNumberFormat="1" applyFont="1" applyFill="1" applyBorder="1" applyAlignment="1">
      <alignment horizontal="left" wrapText="1"/>
    </xf>
    <xf numFmtId="0" fontId="20" fillId="2" borderId="0" xfId="0" applyFont="1" applyFill="1"/>
    <xf numFmtId="41" fontId="3" fillId="2" borderId="1" xfId="1" applyNumberFormat="1" applyFont="1" applyFill="1" applyBorder="1" applyAlignment="1"/>
    <xf numFmtId="169" fontId="3" fillId="2" borderId="1" xfId="1" applyNumberFormat="1" applyFont="1" applyFill="1" applyBorder="1" applyAlignment="1"/>
    <xf numFmtId="167" fontId="3" fillId="2" borderId="1" xfId="1" applyNumberFormat="1" applyFont="1" applyFill="1" applyBorder="1" applyAlignment="1">
      <alignment horizontal="center"/>
    </xf>
    <xf numFmtId="41" fontId="4" fillId="2" borderId="1" xfId="1" applyNumberFormat="1" applyFont="1" applyFill="1" applyBorder="1" applyAlignment="1"/>
    <xf numFmtId="169" fontId="5" fillId="2" borderId="1" xfId="1" applyNumberFormat="1" applyFont="1" applyFill="1" applyBorder="1" applyAlignment="1">
      <alignment horizontal="center"/>
    </xf>
    <xf numFmtId="169" fontId="3" fillId="2" borderId="1" xfId="1" applyNumberFormat="1" applyFont="1" applyFill="1" applyBorder="1" applyAlignment="1">
      <alignment horizontal="center"/>
    </xf>
    <xf numFmtId="41" fontId="4" fillId="2" borderId="1" xfId="0" applyNumberFormat="1" applyFont="1" applyFill="1" applyBorder="1" applyAlignment="1"/>
    <xf numFmtId="41" fontId="5" fillId="2" borderId="4" xfId="0" applyNumberFormat="1" applyFont="1" applyFill="1" applyBorder="1" applyAlignment="1">
      <alignment wrapText="1"/>
    </xf>
    <xf numFmtId="171" fontId="3" fillId="2" borderId="1" xfId="1" applyNumberFormat="1" applyFont="1" applyFill="1" applyBorder="1" applyAlignment="1"/>
    <xf numFmtId="166" fontId="3" fillId="2" borderId="1" xfId="1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right"/>
    </xf>
    <xf numFmtId="0" fontId="5" fillId="2" borderId="1" xfId="0" applyFont="1" applyFill="1" applyBorder="1" applyAlignment="1"/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22" fillId="2" borderId="0" xfId="0" applyFont="1" applyFill="1"/>
    <xf numFmtId="0" fontId="9" fillId="2" borderId="0" xfId="0" applyFont="1" applyFill="1" applyAlignment="1">
      <alignment horizontal="center" vertical="center" wrapText="1" shrinkToFit="1"/>
    </xf>
    <xf numFmtId="0" fontId="16" fillId="2" borderId="0" xfId="0" applyFont="1" applyFill="1"/>
    <xf numFmtId="0" fontId="3" fillId="2" borderId="2" xfId="0" quotePrefix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quotePrefix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2" fontId="3" fillId="2" borderId="1" xfId="0" applyNumberFormat="1" applyFont="1" applyFill="1" applyBorder="1" applyAlignment="1">
      <alignment horizontal="center" vertical="center" wrapText="1" shrinkToFit="1"/>
    </xf>
    <xf numFmtId="3" fontId="3" fillId="2" borderId="1" xfId="0" applyNumberFormat="1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center" wrapText="1"/>
    </xf>
    <xf numFmtId="3" fontId="17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right"/>
    </xf>
    <xf numFmtId="170" fontId="9" fillId="2" borderId="1" xfId="0" applyNumberFormat="1" applyFont="1" applyFill="1" applyBorder="1" applyAlignment="1">
      <alignment horizontal="center"/>
    </xf>
    <xf numFmtId="167" fontId="9" fillId="2" borderId="1" xfId="1" applyNumberFormat="1" applyFont="1" applyFill="1" applyBorder="1" applyAlignment="1">
      <alignment horizontal="right"/>
    </xf>
    <xf numFmtId="169" fontId="10" fillId="2" borderId="0" xfId="0" applyNumberFormat="1" applyFont="1" applyFill="1"/>
    <xf numFmtId="172" fontId="14" fillId="2" borderId="0" xfId="0" applyNumberFormat="1" applyFont="1" applyFill="1"/>
    <xf numFmtId="0" fontId="20" fillId="2" borderId="1" xfId="0" applyFont="1" applyFill="1" applyBorder="1" applyAlignment="1">
      <alignment vertical="center" wrapText="1"/>
    </xf>
    <xf numFmtId="175" fontId="10" fillId="2" borderId="0" xfId="0" applyNumberFormat="1" applyFont="1" applyFill="1"/>
    <xf numFmtId="176" fontId="10" fillId="2" borderId="0" xfId="0" applyNumberFormat="1" applyFont="1" applyFill="1"/>
    <xf numFmtId="49" fontId="3" fillId="2" borderId="2" xfId="0" applyNumberFormat="1" applyFont="1" applyFill="1" applyBorder="1" applyAlignment="1">
      <alignment horizontal="right"/>
    </xf>
    <xf numFmtId="169" fontId="3" fillId="2" borderId="1" xfId="1" applyNumberFormat="1" applyFont="1" applyFill="1" applyBorder="1"/>
    <xf numFmtId="49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wrapText="1"/>
    </xf>
    <xf numFmtId="49" fontId="3" fillId="2" borderId="2" xfId="0" applyNumberFormat="1" applyFont="1" applyFill="1" applyBorder="1" applyAlignment="1">
      <alignment wrapText="1" shrinkToFit="1"/>
    </xf>
    <xf numFmtId="49" fontId="1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169" fontId="6" fillId="2" borderId="1" xfId="1" applyNumberFormat="1" applyFont="1" applyFill="1" applyBorder="1" applyAlignment="1">
      <alignment vertical="center"/>
    </xf>
    <xf numFmtId="167" fontId="6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vertical="center"/>
    </xf>
    <xf numFmtId="167" fontId="6" fillId="2" borderId="1" xfId="1" applyNumberFormat="1" applyFont="1" applyFill="1" applyBorder="1" applyAlignment="1"/>
    <xf numFmtId="49" fontId="9" fillId="2" borderId="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left" wrapText="1" shrinkToFit="1"/>
    </xf>
    <xf numFmtId="49" fontId="17" fillId="2" borderId="1" xfId="0" applyNumberFormat="1" applyFont="1" applyFill="1" applyBorder="1" applyAlignment="1">
      <alignment horizontal="center" vertical="center" wrapText="1" shrinkToFit="1"/>
    </xf>
    <xf numFmtId="169" fontId="9" fillId="2" borderId="1" xfId="1" applyNumberFormat="1" applyFont="1" applyFill="1" applyBorder="1" applyAlignment="1"/>
    <xf numFmtId="167" fontId="9" fillId="2" borderId="1" xfId="1" applyNumberFormat="1" applyFont="1" applyFill="1" applyBorder="1" applyAlignment="1"/>
    <xf numFmtId="0" fontId="9" fillId="2" borderId="0" xfId="0" applyFont="1" applyFill="1" applyAlignment="1"/>
    <xf numFmtId="166" fontId="7" fillId="2" borderId="1" xfId="1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/>
    <xf numFmtId="41" fontId="5" fillId="2" borderId="1" xfId="1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41" fontId="6" fillId="2" borderId="5" xfId="1" applyNumberFormat="1" applyFont="1" applyFill="1" applyBorder="1" applyAlignment="1"/>
    <xf numFmtId="49" fontId="13" fillId="2" borderId="1" xfId="0" applyNumberFormat="1" applyFont="1" applyFill="1" applyBorder="1" applyAlignment="1">
      <alignment horizontal="center"/>
    </xf>
    <xf numFmtId="169" fontId="4" fillId="2" borderId="1" xfId="1" applyNumberFormat="1" applyFont="1" applyFill="1" applyBorder="1" applyAlignment="1"/>
    <xf numFmtId="49" fontId="9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wrapText="1" shrinkToFit="1"/>
    </xf>
    <xf numFmtId="169" fontId="9" fillId="2" borderId="1" xfId="1" applyNumberFormat="1" applyFont="1" applyFill="1" applyBorder="1" applyAlignment="1">
      <alignment horizontal="right"/>
    </xf>
    <xf numFmtId="167" fontId="9" fillId="2" borderId="1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/>
    <xf numFmtId="49" fontId="4" fillId="2" borderId="1" xfId="0" applyNumberFormat="1" applyFont="1" applyFill="1" applyBorder="1" applyAlignment="1">
      <alignment horizontal="center" vertical="center" wrapText="1" shrinkToFit="1"/>
    </xf>
    <xf numFmtId="169" fontId="4" fillId="2" borderId="1" xfId="1" applyNumberFormat="1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vertical="center" wrapText="1" shrinkToFit="1"/>
    </xf>
    <xf numFmtId="49" fontId="9" fillId="2" borderId="1" xfId="0" applyNumberFormat="1" applyFont="1" applyFill="1" applyBorder="1" applyAlignment="1">
      <alignment horizontal="center" wrapText="1" shrinkToFit="1"/>
    </xf>
    <xf numFmtId="166" fontId="9" fillId="2" borderId="1" xfId="1" applyNumberFormat="1" applyFont="1" applyFill="1" applyBorder="1" applyAlignment="1">
      <alignment horizontal="center"/>
    </xf>
    <xf numFmtId="166" fontId="9" fillId="2" borderId="1" xfId="1" applyNumberFormat="1" applyFont="1" applyFill="1" applyBorder="1" applyAlignment="1"/>
    <xf numFmtId="41" fontId="14" fillId="2" borderId="0" xfId="0" applyNumberFormat="1" applyFont="1" applyFill="1" applyBorder="1"/>
    <xf numFmtId="0" fontId="10" fillId="2" borderId="0" xfId="0" applyFont="1" applyFill="1" applyBorder="1"/>
    <xf numFmtId="41" fontId="3" fillId="2" borderId="1" xfId="0" applyNumberFormat="1" applyFont="1" applyFill="1" applyBorder="1" applyAlignment="1">
      <alignment wrapText="1"/>
    </xf>
    <xf numFmtId="41" fontId="12" fillId="2" borderId="0" xfId="0" applyNumberFormat="1" applyFont="1" applyFill="1"/>
    <xf numFmtId="0" fontId="14" fillId="2" borderId="0" xfId="0" applyFont="1" applyFill="1" applyBorder="1"/>
    <xf numFmtId="0" fontId="15" fillId="2" borderId="0" xfId="0" applyFont="1" applyFill="1"/>
    <xf numFmtId="166" fontId="5" fillId="2" borderId="4" xfId="1" applyNumberFormat="1" applyFont="1" applyFill="1" applyBorder="1" applyAlignment="1">
      <alignment horizontal="center"/>
    </xf>
    <xf numFmtId="41" fontId="14" fillId="2" borderId="0" xfId="0" applyNumberFormat="1" applyFont="1" applyFill="1"/>
    <xf numFmtId="166" fontId="3" fillId="2" borderId="3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66" fontId="4" fillId="2" borderId="3" xfId="1" applyNumberFormat="1" applyFont="1" applyFill="1" applyBorder="1" applyAlignment="1">
      <alignment horizontal="center" vertical="center" wrapText="1"/>
    </xf>
    <xf numFmtId="165" fontId="3" fillId="2" borderId="1" xfId="1" applyFont="1" applyFill="1" applyBorder="1" applyAlignment="1"/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left" wrapText="1" shrinkToFit="1"/>
    </xf>
    <xf numFmtId="0" fontId="21" fillId="2" borderId="1" xfId="0" applyFont="1" applyFill="1" applyBorder="1" applyAlignment="1">
      <alignment horizontal="center" vertical="center"/>
    </xf>
    <xf numFmtId="41" fontId="21" fillId="2" borderId="1" xfId="0" applyNumberFormat="1" applyFont="1" applyFill="1" applyBorder="1" applyAlignment="1"/>
    <xf numFmtId="166" fontId="21" fillId="2" borderId="1" xfId="1" applyNumberFormat="1" applyFont="1" applyFill="1" applyBorder="1" applyAlignment="1">
      <alignment horizontal="center"/>
    </xf>
    <xf numFmtId="3" fontId="21" fillId="2" borderId="1" xfId="0" applyNumberFormat="1" applyFont="1" applyFill="1" applyBorder="1" applyAlignment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wrapText="1"/>
    </xf>
    <xf numFmtId="0" fontId="8" fillId="2" borderId="0" xfId="0" applyFont="1" applyFill="1" applyAlignment="1">
      <alignment horizontal="center" vertical="center"/>
    </xf>
    <xf numFmtId="2" fontId="14" fillId="2" borderId="0" xfId="0" applyNumberFormat="1" applyFont="1" applyFill="1"/>
    <xf numFmtId="3" fontId="14" fillId="2" borderId="0" xfId="0" applyNumberFormat="1" applyFont="1" applyFill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wrapText="1"/>
    </xf>
    <xf numFmtId="1" fontId="14" fillId="2" borderId="0" xfId="0" applyNumberFormat="1" applyFont="1" applyFill="1"/>
    <xf numFmtId="168" fontId="16" fillId="2" borderId="0" xfId="0" applyNumberFormat="1" applyFont="1" applyFill="1"/>
    <xf numFmtId="166" fontId="16" fillId="2" borderId="0" xfId="1" applyNumberFormat="1" applyFont="1" applyFill="1"/>
    <xf numFmtId="43" fontId="16" fillId="2" borderId="0" xfId="0" applyNumberFormat="1" applyFont="1" applyFill="1"/>
    <xf numFmtId="173" fontId="19" fillId="2" borderId="0" xfId="0" applyNumberFormat="1" applyFont="1" applyFill="1"/>
    <xf numFmtId="174" fontId="19" fillId="2" borderId="0" xfId="0" applyNumberFormat="1" applyFont="1" applyFill="1"/>
    <xf numFmtId="174" fontId="16" fillId="2" borderId="0" xfId="0" applyNumberFormat="1" applyFont="1" applyFill="1"/>
    <xf numFmtId="2" fontId="12" fillId="2" borderId="0" xfId="0" applyNumberFormat="1" applyFont="1" applyFill="1"/>
    <xf numFmtId="165" fontId="16" fillId="2" borderId="0" xfId="1" applyFont="1" applyFill="1"/>
    <xf numFmtId="164" fontId="16" fillId="2" borderId="0" xfId="0" applyNumberFormat="1" applyFont="1" applyFill="1"/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1"/>
  <sheetViews>
    <sheetView tabSelected="1" zoomScale="70" zoomScaleNormal="70" workbookViewId="0">
      <pane xSplit="2" ySplit="6" topLeftCell="C108" activePane="bottomRight" state="frozen"/>
      <selection pane="topRight" activeCell="C1" sqref="C1"/>
      <selection pane="bottomLeft" activeCell="A7" sqref="A7"/>
      <selection pane="bottomRight" activeCell="B120" sqref="B120"/>
    </sheetView>
  </sheetViews>
  <sheetFormatPr defaultColWidth="8" defaultRowHeight="16.5"/>
  <cols>
    <col min="1" max="1" width="6" style="172" customWidth="1"/>
    <col min="2" max="2" width="99.140625" style="173" customWidth="1"/>
    <col min="3" max="3" width="33.42578125" style="169" customWidth="1"/>
    <col min="4" max="4" width="18.5703125" style="170" customWidth="1"/>
    <col min="5" max="5" width="15.7109375" style="90" customWidth="1"/>
    <col min="6" max="6" width="16" style="90" customWidth="1"/>
    <col min="7" max="7" width="13.42578125" style="172" customWidth="1"/>
    <col min="8" max="8" width="17.42578125" style="90" customWidth="1"/>
    <col min="9" max="9" width="16.85546875" style="90" customWidth="1"/>
    <col min="10" max="10" width="17.140625" style="90" customWidth="1"/>
    <col min="11" max="11" width="13" style="90" customWidth="1"/>
    <col min="12" max="12" width="17.42578125" style="90" customWidth="1"/>
    <col min="13" max="13" width="11.42578125" style="90" bestFit="1" customWidth="1"/>
    <col min="14" max="14" width="14" style="90" bestFit="1" customWidth="1"/>
    <col min="15" max="15" width="15.5703125" style="90" customWidth="1"/>
    <col min="16" max="16384" width="8" style="90"/>
  </cols>
  <sheetData>
    <row r="1" spans="1:12">
      <c r="A1" s="89" t="s">
        <v>123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</row>
    <row r="4" spans="1:12" s="32" customFormat="1" ht="39.75" customHeight="1">
      <c r="A4" s="91" t="s">
        <v>0</v>
      </c>
      <c r="B4" s="92" t="s">
        <v>1</v>
      </c>
      <c r="C4" s="93" t="s">
        <v>105</v>
      </c>
      <c r="D4" s="93"/>
      <c r="E4" s="93"/>
      <c r="F4" s="93"/>
      <c r="G4" s="93"/>
      <c r="H4" s="94" t="s">
        <v>106</v>
      </c>
      <c r="I4" s="94"/>
      <c r="J4" s="94"/>
      <c r="K4" s="94"/>
    </row>
    <row r="5" spans="1:12" s="32" customFormat="1" ht="87" customHeight="1">
      <c r="A5" s="95"/>
      <c r="B5" s="92"/>
      <c r="C5" s="96" t="s">
        <v>2</v>
      </c>
      <c r="D5" s="97" t="s">
        <v>122</v>
      </c>
      <c r="E5" s="96" t="s">
        <v>107</v>
      </c>
      <c r="F5" s="98" t="s">
        <v>124</v>
      </c>
      <c r="G5" s="17" t="s">
        <v>108</v>
      </c>
      <c r="H5" s="96" t="s">
        <v>122</v>
      </c>
      <c r="I5" s="96" t="s">
        <v>107</v>
      </c>
      <c r="J5" s="98" t="s">
        <v>124</v>
      </c>
      <c r="K5" s="17" t="s">
        <v>108</v>
      </c>
    </row>
    <row r="6" spans="1:12" s="32" customFormat="1" ht="15">
      <c r="A6" s="99">
        <v>1</v>
      </c>
      <c r="B6" s="100">
        <v>2</v>
      </c>
      <c r="C6" s="101">
        <v>3</v>
      </c>
      <c r="D6" s="102">
        <v>4</v>
      </c>
      <c r="E6" s="102">
        <v>5</v>
      </c>
      <c r="F6" s="99">
        <v>6</v>
      </c>
      <c r="G6" s="102">
        <v>7</v>
      </c>
      <c r="H6" s="102">
        <v>8</v>
      </c>
      <c r="I6" s="99">
        <v>9</v>
      </c>
      <c r="J6" s="99">
        <v>10</v>
      </c>
      <c r="K6" s="99">
        <v>11</v>
      </c>
    </row>
    <row r="7" spans="1:12" s="30" customFormat="1" ht="40.5">
      <c r="A7" s="103" t="s">
        <v>109</v>
      </c>
      <c r="B7" s="104" t="s">
        <v>110</v>
      </c>
      <c r="C7" s="105"/>
      <c r="D7" s="106">
        <f>D8+D17</f>
        <v>215819</v>
      </c>
      <c r="E7" s="106">
        <f>E8+E17</f>
        <v>212823</v>
      </c>
      <c r="F7" s="106">
        <f>F8+F17</f>
        <v>215081.5</v>
      </c>
      <c r="G7" s="107">
        <f t="shared" ref="G7" si="0">G8</f>
        <v>100</v>
      </c>
      <c r="H7" s="106">
        <f>H8+H17</f>
        <v>236352</v>
      </c>
      <c r="I7" s="106">
        <f>I8+I17</f>
        <v>238912</v>
      </c>
      <c r="J7" s="106">
        <f>J8+J17</f>
        <v>231038</v>
      </c>
      <c r="K7" s="108">
        <f>J7/I7*100</f>
        <v>96.704225823734262</v>
      </c>
      <c r="L7" s="109"/>
    </row>
    <row r="8" spans="1:12" s="31" customFormat="1" ht="18.75">
      <c r="A8" s="68" t="s">
        <v>144</v>
      </c>
      <c r="B8" s="71" t="s">
        <v>125</v>
      </c>
      <c r="C8" s="13"/>
      <c r="D8" s="47">
        <f t="shared" ref="D8:F8" si="1">D9+D16</f>
        <v>178151</v>
      </c>
      <c r="E8" s="47">
        <f t="shared" si="1"/>
        <v>175155</v>
      </c>
      <c r="F8" s="47">
        <f t="shared" si="1"/>
        <v>175155</v>
      </c>
      <c r="G8" s="46">
        <f>F8/E8*100</f>
        <v>100</v>
      </c>
      <c r="H8" s="47">
        <f>H9+H16</f>
        <v>71376</v>
      </c>
      <c r="I8" s="47">
        <f>I9+I16</f>
        <v>72779</v>
      </c>
      <c r="J8" s="47">
        <f>J9+J16</f>
        <v>69683</v>
      </c>
      <c r="K8" s="55">
        <f>J8/I8*100</f>
        <v>95.746025639264076</v>
      </c>
    </row>
    <row r="9" spans="1:12" s="32" customFormat="1" ht="31.5">
      <c r="A9" s="86"/>
      <c r="B9" s="1" t="s">
        <v>111</v>
      </c>
      <c r="C9" s="13" t="s">
        <v>3</v>
      </c>
      <c r="D9" s="82">
        <f>SUM(D10:D15)</f>
        <v>178151</v>
      </c>
      <c r="E9" s="82">
        <f t="shared" ref="E9:F9" si="2">SUM(E10:E15)</f>
        <v>175155</v>
      </c>
      <c r="F9" s="82">
        <f t="shared" si="2"/>
        <v>175155</v>
      </c>
      <c r="G9" s="76">
        <f t="shared" ref="G9:G15" si="3">F9/E9*100</f>
        <v>100</v>
      </c>
      <c r="H9" s="54">
        <f>SUM(H10:H15)</f>
        <v>71066</v>
      </c>
      <c r="I9" s="54">
        <f>SUM(I10:I15)</f>
        <v>71328</v>
      </c>
      <c r="J9" s="54">
        <f>SUM(J10:J15)</f>
        <v>69683</v>
      </c>
      <c r="K9" s="70">
        <f t="shared" ref="K9:K52" si="4">J9/I9*100</f>
        <v>97.693752803947959</v>
      </c>
      <c r="L9" s="110"/>
    </row>
    <row r="10" spans="1:12" s="32" customFormat="1" ht="15.75">
      <c r="A10" s="68"/>
      <c r="B10" s="5" t="s">
        <v>83</v>
      </c>
      <c r="C10" s="42" t="s">
        <v>3</v>
      </c>
      <c r="D10" s="49">
        <v>23592</v>
      </c>
      <c r="E10" s="50">
        <v>22827</v>
      </c>
      <c r="F10" s="50">
        <v>22827</v>
      </c>
      <c r="G10" s="51">
        <f t="shared" si="3"/>
        <v>100</v>
      </c>
      <c r="H10" s="52">
        <v>13566</v>
      </c>
      <c r="I10" s="52">
        <v>14840</v>
      </c>
      <c r="J10" s="52">
        <v>14497</v>
      </c>
      <c r="K10" s="26">
        <f t="shared" si="4"/>
        <v>97.688679245283012</v>
      </c>
    </row>
    <row r="11" spans="1:12" s="33" customFormat="1" ht="15.75">
      <c r="A11" s="68"/>
      <c r="B11" s="5" t="s">
        <v>84</v>
      </c>
      <c r="C11" s="42" t="s">
        <v>3</v>
      </c>
      <c r="D11" s="49">
        <v>22582</v>
      </c>
      <c r="E11" s="50">
        <v>21569</v>
      </c>
      <c r="F11" s="50">
        <v>21569</v>
      </c>
      <c r="G11" s="51">
        <f t="shared" si="3"/>
        <v>100</v>
      </c>
      <c r="H11" s="52">
        <v>14181</v>
      </c>
      <c r="I11" s="52">
        <v>13859</v>
      </c>
      <c r="J11" s="52">
        <v>13540</v>
      </c>
      <c r="K11" s="26">
        <f t="shared" si="4"/>
        <v>97.698246626740755</v>
      </c>
    </row>
    <row r="12" spans="1:12" s="31" customFormat="1" ht="15.75">
      <c r="A12" s="87"/>
      <c r="B12" s="5" t="s">
        <v>112</v>
      </c>
      <c r="C12" s="42" t="s">
        <v>3</v>
      </c>
      <c r="D12" s="49">
        <v>12056</v>
      </c>
      <c r="E12" s="50">
        <v>11612</v>
      </c>
      <c r="F12" s="50">
        <v>11612</v>
      </c>
      <c r="G12" s="51">
        <f t="shared" si="3"/>
        <v>100</v>
      </c>
      <c r="H12" s="52">
        <v>11798</v>
      </c>
      <c r="I12" s="52">
        <v>11426</v>
      </c>
      <c r="J12" s="52">
        <v>11162</v>
      </c>
      <c r="K12" s="26">
        <f t="shared" si="4"/>
        <v>97.689480133029932</v>
      </c>
    </row>
    <row r="13" spans="1:12" s="33" customFormat="1" ht="15.75">
      <c r="A13" s="68"/>
      <c r="B13" s="5" t="s">
        <v>86</v>
      </c>
      <c r="C13" s="42" t="s">
        <v>3</v>
      </c>
      <c r="D13" s="49">
        <v>6240</v>
      </c>
      <c r="E13" s="50">
        <v>5989</v>
      </c>
      <c r="F13" s="50">
        <v>5989</v>
      </c>
      <c r="G13" s="51">
        <f t="shared" si="3"/>
        <v>100</v>
      </c>
      <c r="H13" s="52">
        <v>6753</v>
      </c>
      <c r="I13" s="52">
        <v>6390</v>
      </c>
      <c r="J13" s="52">
        <v>6243</v>
      </c>
      <c r="K13" s="26">
        <f t="shared" si="4"/>
        <v>97.699530516431921</v>
      </c>
    </row>
    <row r="14" spans="1:12" s="33" customFormat="1" ht="15.75">
      <c r="A14" s="87"/>
      <c r="B14" s="5" t="s">
        <v>85</v>
      </c>
      <c r="C14" s="42" t="s">
        <v>3</v>
      </c>
      <c r="D14" s="49">
        <v>49616</v>
      </c>
      <c r="E14" s="50">
        <v>48429</v>
      </c>
      <c r="F14" s="50">
        <v>48429</v>
      </c>
      <c r="G14" s="51">
        <f t="shared" si="3"/>
        <v>100</v>
      </c>
      <c r="H14" s="52">
        <v>14193</v>
      </c>
      <c r="I14" s="52">
        <v>14200</v>
      </c>
      <c r="J14" s="52">
        <v>13873</v>
      </c>
      <c r="K14" s="26">
        <f t="shared" si="4"/>
        <v>97.697183098591552</v>
      </c>
    </row>
    <row r="15" spans="1:12" s="33" customFormat="1" ht="15.75">
      <c r="A15" s="87"/>
      <c r="B15" s="5" t="s">
        <v>87</v>
      </c>
      <c r="C15" s="42" t="s">
        <v>3</v>
      </c>
      <c r="D15" s="49">
        <v>64065</v>
      </c>
      <c r="E15" s="50">
        <v>64729</v>
      </c>
      <c r="F15" s="50">
        <v>64729</v>
      </c>
      <c r="G15" s="51">
        <f t="shared" si="3"/>
        <v>100</v>
      </c>
      <c r="H15" s="52">
        <v>10575</v>
      </c>
      <c r="I15" s="52">
        <v>10613</v>
      </c>
      <c r="J15" s="52">
        <v>10368</v>
      </c>
      <c r="K15" s="26">
        <f t="shared" si="4"/>
        <v>97.691510411759168</v>
      </c>
    </row>
    <row r="16" spans="1:12" s="34" customFormat="1" ht="37.5">
      <c r="A16" s="87"/>
      <c r="B16" s="111" t="s">
        <v>113</v>
      </c>
      <c r="C16" s="42"/>
      <c r="D16" s="49"/>
      <c r="E16" s="50"/>
      <c r="F16" s="50"/>
      <c r="G16" s="51"/>
      <c r="H16" s="52">
        <f>71376.1-71066-0.1</f>
        <v>310.0000000000058</v>
      </c>
      <c r="I16" s="52">
        <f>72779.6-71328-0.6</f>
        <v>1451.0000000000059</v>
      </c>
      <c r="J16" s="52"/>
      <c r="K16" s="26">
        <f t="shared" si="4"/>
        <v>0</v>
      </c>
    </row>
    <row r="17" spans="1:14" s="30" customFormat="1" ht="18.75">
      <c r="A17" s="68" t="s">
        <v>145</v>
      </c>
      <c r="B17" s="71" t="s">
        <v>88</v>
      </c>
      <c r="C17" s="57"/>
      <c r="D17" s="53">
        <f>D18+D19+D20+D23+D22+D21</f>
        <v>37668</v>
      </c>
      <c r="E17" s="53">
        <f t="shared" ref="E17:F17" si="5">E18+E19+E20+E23+E22+E21</f>
        <v>37668</v>
      </c>
      <c r="F17" s="53">
        <f t="shared" si="5"/>
        <v>39926.5</v>
      </c>
      <c r="G17" s="46">
        <f t="shared" ref="G17:G52" si="6">F17/E17*100</f>
        <v>105.99580545821388</v>
      </c>
      <c r="H17" s="48">
        <f>SUM(H18:H23)</f>
        <v>164976</v>
      </c>
      <c r="I17" s="48">
        <f>SUM(I18:I23)</f>
        <v>166133</v>
      </c>
      <c r="J17" s="48">
        <f>SUM(J18:J23)</f>
        <v>161355</v>
      </c>
      <c r="K17" s="56">
        <f>J17/I17*100</f>
        <v>97.123991019243618</v>
      </c>
      <c r="L17" s="32"/>
      <c r="M17" s="112"/>
      <c r="N17" s="113"/>
    </row>
    <row r="18" spans="1:14" s="30" customFormat="1" ht="18.75">
      <c r="A18" s="114"/>
      <c r="B18" s="1" t="s">
        <v>89</v>
      </c>
      <c r="C18" s="57" t="s">
        <v>90</v>
      </c>
      <c r="D18" s="115">
        <v>15</v>
      </c>
      <c r="E18" s="115">
        <v>15</v>
      </c>
      <c r="F18" s="115">
        <v>40</v>
      </c>
      <c r="G18" s="76">
        <f t="shared" si="6"/>
        <v>266.66666666666663</v>
      </c>
      <c r="H18" s="54">
        <v>12300</v>
      </c>
      <c r="I18" s="54">
        <f>12673.1-0.1</f>
        <v>12673</v>
      </c>
      <c r="J18" s="54">
        <f>12343.9+0.1</f>
        <v>12344</v>
      </c>
      <c r="K18" s="70">
        <f t="shared" si="4"/>
        <v>97.403929614140296</v>
      </c>
      <c r="L18" s="32"/>
    </row>
    <row r="19" spans="1:14" s="30" customFormat="1" ht="21" customHeight="1">
      <c r="A19" s="116"/>
      <c r="B19" s="117" t="s">
        <v>91</v>
      </c>
      <c r="C19" s="57" t="s">
        <v>92</v>
      </c>
      <c r="D19" s="115">
        <v>37600</v>
      </c>
      <c r="E19" s="115">
        <v>37600</v>
      </c>
      <c r="F19" s="115">
        <v>39812</v>
      </c>
      <c r="G19" s="76">
        <f t="shared" si="6"/>
        <v>105.88297872340426</v>
      </c>
      <c r="H19" s="54">
        <v>48349</v>
      </c>
      <c r="I19" s="54">
        <f>47169.2-0.2</f>
        <v>47169</v>
      </c>
      <c r="J19" s="54">
        <f>45944.2-0.2</f>
        <v>45944</v>
      </c>
      <c r="K19" s="70">
        <f t="shared" si="4"/>
        <v>97.402955330831688</v>
      </c>
      <c r="L19" s="32"/>
    </row>
    <row r="20" spans="1:14" s="30" customFormat="1" ht="32.25">
      <c r="A20" s="114"/>
      <c r="B20" s="118" t="s">
        <v>93</v>
      </c>
      <c r="C20" s="57" t="s">
        <v>94</v>
      </c>
      <c r="D20" s="115">
        <v>23</v>
      </c>
      <c r="E20" s="115">
        <v>23</v>
      </c>
      <c r="F20" s="115">
        <v>24.5</v>
      </c>
      <c r="G20" s="76">
        <f t="shared" si="6"/>
        <v>106.5217391304348</v>
      </c>
      <c r="H20" s="54">
        <v>95783</v>
      </c>
      <c r="I20" s="54">
        <f>101696.9+0.1</f>
        <v>101697</v>
      </c>
      <c r="J20" s="54">
        <f>99056.4-0.4</f>
        <v>99056</v>
      </c>
      <c r="K20" s="70">
        <f t="shared" si="4"/>
        <v>97.403069903733638</v>
      </c>
      <c r="L20" s="32"/>
    </row>
    <row r="21" spans="1:14" s="30" customFormat="1" ht="50.25" customHeight="1">
      <c r="A21" s="114"/>
      <c r="B21" s="118" t="s">
        <v>95</v>
      </c>
      <c r="C21" s="57" t="s">
        <v>99</v>
      </c>
      <c r="D21" s="115">
        <v>20</v>
      </c>
      <c r="E21" s="115">
        <v>20</v>
      </c>
      <c r="F21" s="115">
        <v>22</v>
      </c>
      <c r="G21" s="76">
        <f t="shared" si="6"/>
        <v>110.00000000000001</v>
      </c>
      <c r="H21" s="54">
        <v>2692</v>
      </c>
      <c r="I21" s="54">
        <f>4117.7/30*20-0.1</f>
        <v>2745.0333333333333</v>
      </c>
      <c r="J21" s="54">
        <f>2673.7+0.3</f>
        <v>2674</v>
      </c>
      <c r="K21" s="70">
        <f t="shared" si="4"/>
        <v>97.412296146980609</v>
      </c>
      <c r="L21" s="32"/>
    </row>
    <row r="22" spans="1:14" s="30" customFormat="1" ht="50.25" customHeight="1">
      <c r="A22" s="114"/>
      <c r="B22" s="118" t="s">
        <v>95</v>
      </c>
      <c r="C22" s="57" t="s">
        <v>100</v>
      </c>
      <c r="D22" s="115">
        <v>10</v>
      </c>
      <c r="E22" s="115">
        <v>10</v>
      </c>
      <c r="F22" s="115">
        <v>28</v>
      </c>
      <c r="G22" s="76">
        <f t="shared" si="6"/>
        <v>280</v>
      </c>
      <c r="H22" s="54">
        <f>4038-2692</f>
        <v>1346</v>
      </c>
      <c r="I22" s="54">
        <f>4117.7/30*10+0.4</f>
        <v>1372.9666666666667</v>
      </c>
      <c r="J22" s="54">
        <f>1337.3-0.3</f>
        <v>1337</v>
      </c>
      <c r="K22" s="70">
        <f t="shared" si="4"/>
        <v>97.380368544999868</v>
      </c>
      <c r="L22" s="32"/>
    </row>
    <row r="23" spans="1:14" s="73" customFormat="1" ht="37.5">
      <c r="A23" s="119"/>
      <c r="B23" s="111" t="s">
        <v>113</v>
      </c>
      <c r="C23" s="120"/>
      <c r="D23" s="121"/>
      <c r="E23" s="121"/>
      <c r="F23" s="121"/>
      <c r="G23" s="122"/>
      <c r="H23" s="52">
        <f>164975.6-160470+0.4</f>
        <v>4506.0000000000055</v>
      </c>
      <c r="I23" s="52">
        <f>475.7+0.3</f>
        <v>476</v>
      </c>
      <c r="J23" s="123"/>
      <c r="K23" s="124"/>
      <c r="L23" s="33"/>
    </row>
    <row r="24" spans="1:14" s="130" customFormat="1" ht="60.75">
      <c r="A24" s="125" t="s">
        <v>54</v>
      </c>
      <c r="B24" s="126" t="s">
        <v>147</v>
      </c>
      <c r="C24" s="127"/>
      <c r="D24" s="128">
        <f>D25+D32</f>
        <v>35346</v>
      </c>
      <c r="E24" s="128">
        <f t="shared" ref="E24:F24" si="7">E25+E32</f>
        <v>36733</v>
      </c>
      <c r="F24" s="128">
        <f t="shared" si="7"/>
        <v>36974</v>
      </c>
      <c r="G24" s="129">
        <f t="shared" si="6"/>
        <v>100.65608580840117</v>
      </c>
      <c r="H24" s="128">
        <f>H25+H32</f>
        <v>150845</v>
      </c>
      <c r="I24" s="128">
        <f t="shared" ref="I24:J24" si="8">I25+I32</f>
        <v>153702</v>
      </c>
      <c r="J24" s="128">
        <f t="shared" si="8"/>
        <v>149489</v>
      </c>
      <c r="K24" s="129">
        <f t="shared" si="4"/>
        <v>97.258981665820869</v>
      </c>
    </row>
    <row r="25" spans="1:14" s="31" customFormat="1" ht="18.75">
      <c r="A25" s="68" t="s">
        <v>56</v>
      </c>
      <c r="B25" s="71" t="s">
        <v>14</v>
      </c>
      <c r="C25" s="131"/>
      <c r="D25" s="69">
        <f>D26</f>
        <v>35346</v>
      </c>
      <c r="E25" s="69">
        <f t="shared" ref="E25:F25" si="9">E26</f>
        <v>35346</v>
      </c>
      <c r="F25" s="69">
        <f t="shared" si="9"/>
        <v>35346</v>
      </c>
      <c r="G25" s="46">
        <f t="shared" si="6"/>
        <v>100</v>
      </c>
      <c r="H25" s="69">
        <f>H26</f>
        <v>1650</v>
      </c>
      <c r="I25" s="69">
        <f t="shared" ref="I25:J25" si="10">I26</f>
        <v>1650</v>
      </c>
      <c r="J25" s="69">
        <f t="shared" si="10"/>
        <v>1650</v>
      </c>
      <c r="K25" s="46">
        <f t="shared" si="4"/>
        <v>100</v>
      </c>
    </row>
    <row r="26" spans="1:14" s="32" customFormat="1" ht="31.5">
      <c r="A26" s="86"/>
      <c r="B26" s="43" t="s">
        <v>5</v>
      </c>
      <c r="C26" s="18"/>
      <c r="D26" s="19">
        <f>SUM(D27:D31)</f>
        <v>35346</v>
      </c>
      <c r="E26" s="19">
        <f>SUM(E27:E31)</f>
        <v>35346</v>
      </c>
      <c r="F26" s="19">
        <f>SUM(F27:F31)</f>
        <v>35346</v>
      </c>
      <c r="G26" s="76">
        <f t="shared" si="6"/>
        <v>100</v>
      </c>
      <c r="H26" s="19">
        <f t="shared" ref="H26:I26" si="11">SUM(H27:H31)</f>
        <v>1650</v>
      </c>
      <c r="I26" s="19">
        <f t="shared" si="11"/>
        <v>1650</v>
      </c>
      <c r="J26" s="19">
        <f>SUM(J27:J31)</f>
        <v>1650</v>
      </c>
      <c r="K26" s="76">
        <f t="shared" si="4"/>
        <v>100</v>
      </c>
    </row>
    <row r="27" spans="1:14" s="33" customFormat="1" ht="31.5">
      <c r="A27" s="87"/>
      <c r="B27" s="44" t="s">
        <v>6</v>
      </c>
      <c r="C27" s="58" t="s">
        <v>126</v>
      </c>
      <c r="D27" s="20">
        <v>1278</v>
      </c>
      <c r="E27" s="20">
        <v>1278</v>
      </c>
      <c r="F27" s="20">
        <v>1278</v>
      </c>
      <c r="G27" s="51">
        <f>F27/E27*100</f>
        <v>100</v>
      </c>
      <c r="H27" s="132">
        <v>129</v>
      </c>
      <c r="I27" s="132">
        <v>129</v>
      </c>
      <c r="J27" s="132">
        <v>129</v>
      </c>
      <c r="K27" s="51">
        <f>J27/I27*100</f>
        <v>100</v>
      </c>
    </row>
    <row r="28" spans="1:14" s="32" customFormat="1" ht="31.5">
      <c r="A28" s="87"/>
      <c r="B28" s="44" t="s">
        <v>7</v>
      </c>
      <c r="C28" s="58" t="s">
        <v>126</v>
      </c>
      <c r="D28" s="20">
        <v>5337</v>
      </c>
      <c r="E28" s="20">
        <v>5337</v>
      </c>
      <c r="F28" s="20">
        <v>5337</v>
      </c>
      <c r="G28" s="51">
        <f t="shared" si="6"/>
        <v>100</v>
      </c>
      <c r="H28" s="52">
        <v>334</v>
      </c>
      <c r="I28" s="52">
        <v>334</v>
      </c>
      <c r="J28" s="52">
        <v>334</v>
      </c>
      <c r="K28" s="51">
        <f t="shared" si="4"/>
        <v>100</v>
      </c>
    </row>
    <row r="29" spans="1:14" s="32" customFormat="1" ht="31.5">
      <c r="A29" s="87"/>
      <c r="B29" s="44" t="s">
        <v>8</v>
      </c>
      <c r="C29" s="58" t="s">
        <v>126</v>
      </c>
      <c r="D29" s="20">
        <v>8769</v>
      </c>
      <c r="E29" s="20">
        <v>8769</v>
      </c>
      <c r="F29" s="20">
        <v>8769</v>
      </c>
      <c r="G29" s="51">
        <f t="shared" si="6"/>
        <v>100</v>
      </c>
      <c r="H29" s="52">
        <v>337</v>
      </c>
      <c r="I29" s="52">
        <v>337</v>
      </c>
      <c r="J29" s="52">
        <v>337</v>
      </c>
      <c r="K29" s="51">
        <f t="shared" si="4"/>
        <v>100</v>
      </c>
    </row>
    <row r="30" spans="1:14" s="32" customFormat="1" ht="31.5">
      <c r="A30" s="87"/>
      <c r="B30" s="44" t="s">
        <v>9</v>
      </c>
      <c r="C30" s="58" t="s">
        <v>126</v>
      </c>
      <c r="D30" s="20">
        <v>12642</v>
      </c>
      <c r="E30" s="20">
        <v>12642</v>
      </c>
      <c r="F30" s="20">
        <v>12642</v>
      </c>
      <c r="G30" s="51">
        <f t="shared" si="6"/>
        <v>100</v>
      </c>
      <c r="H30" s="52">
        <v>506</v>
      </c>
      <c r="I30" s="52">
        <v>506</v>
      </c>
      <c r="J30" s="52">
        <v>506</v>
      </c>
      <c r="K30" s="51">
        <f t="shared" si="4"/>
        <v>100</v>
      </c>
    </row>
    <row r="31" spans="1:14" s="32" customFormat="1" ht="31.5">
      <c r="A31" s="87"/>
      <c r="B31" s="44" t="s">
        <v>12</v>
      </c>
      <c r="C31" s="58" t="s">
        <v>126</v>
      </c>
      <c r="D31" s="20">
        <v>7320</v>
      </c>
      <c r="E31" s="20">
        <v>7320</v>
      </c>
      <c r="F31" s="20">
        <v>7320</v>
      </c>
      <c r="G31" s="51">
        <f>F31/E31*100</f>
        <v>100</v>
      </c>
      <c r="H31" s="52">
        <v>344</v>
      </c>
      <c r="I31" s="52">
        <v>344</v>
      </c>
      <c r="J31" s="52">
        <v>344</v>
      </c>
      <c r="K31" s="51">
        <f>J31/I31*100</f>
        <v>100</v>
      </c>
    </row>
    <row r="32" spans="1:14" s="31" customFormat="1" ht="18.75">
      <c r="A32" s="68" t="s">
        <v>58</v>
      </c>
      <c r="B32" s="71" t="s">
        <v>17</v>
      </c>
      <c r="C32" s="60"/>
      <c r="D32" s="133">
        <f>D33+D42+D48+D49+D50+D51+D52+D53</f>
        <v>0</v>
      </c>
      <c r="E32" s="133">
        <f t="shared" ref="E32:F32" si="12">E33+E42+E48+E49+E50+E51+E52+E53</f>
        <v>1387</v>
      </c>
      <c r="F32" s="133">
        <f t="shared" si="12"/>
        <v>1628</v>
      </c>
      <c r="G32" s="46">
        <f t="shared" si="6"/>
        <v>117.37563085796683</v>
      </c>
      <c r="H32" s="133">
        <f>H33+H42+H48+H49+H50+H51+H52+H53</f>
        <v>149195</v>
      </c>
      <c r="I32" s="133">
        <f t="shared" ref="I32:J32" si="13">I33+I42+I48+I49+I50+I51+I52+I53</f>
        <v>152052</v>
      </c>
      <c r="J32" s="133">
        <f t="shared" si="13"/>
        <v>147839</v>
      </c>
      <c r="K32" s="46">
        <f t="shared" si="4"/>
        <v>97.229237366164213</v>
      </c>
    </row>
    <row r="33" spans="1:11" s="32" customFormat="1" ht="63">
      <c r="A33" s="35"/>
      <c r="B33" s="43" t="s">
        <v>19</v>
      </c>
      <c r="C33" s="17" t="s">
        <v>127</v>
      </c>
      <c r="D33" s="19">
        <f>SUM(D34:D41)</f>
        <v>0</v>
      </c>
      <c r="E33" s="19">
        <f>SUM(E34:E41)</f>
        <v>750</v>
      </c>
      <c r="F33" s="19">
        <f>SUM(F34:F41)</f>
        <v>921</v>
      </c>
      <c r="G33" s="76">
        <f t="shared" si="6"/>
        <v>122.8</v>
      </c>
      <c r="H33" s="19">
        <f>SUM(H34:H41)</f>
        <v>0</v>
      </c>
      <c r="I33" s="19">
        <f>SUM(I34:I41)</f>
        <v>104270</v>
      </c>
      <c r="J33" s="19">
        <f>SUM(J34:J41)</f>
        <v>101119</v>
      </c>
      <c r="K33" s="76">
        <f t="shared" si="4"/>
        <v>96.978037786515785</v>
      </c>
    </row>
    <row r="34" spans="1:11" s="31" customFormat="1" ht="63">
      <c r="A34" s="134"/>
      <c r="B34" s="44" t="s">
        <v>20</v>
      </c>
      <c r="C34" s="58" t="s">
        <v>127</v>
      </c>
      <c r="D34" s="135"/>
      <c r="E34" s="20">
        <f>167+42</f>
        <v>209</v>
      </c>
      <c r="F34" s="20">
        <f>219+49</f>
        <v>268</v>
      </c>
      <c r="G34" s="51">
        <f t="shared" si="6"/>
        <v>128.22966507177034</v>
      </c>
      <c r="H34" s="52"/>
      <c r="I34" s="52">
        <v>28472</v>
      </c>
      <c r="J34" s="52">
        <v>26381</v>
      </c>
      <c r="K34" s="51">
        <f t="shared" si="4"/>
        <v>92.655942680528241</v>
      </c>
    </row>
    <row r="35" spans="1:11" s="31" customFormat="1" ht="63">
      <c r="A35" s="134"/>
      <c r="B35" s="44" t="s">
        <v>21</v>
      </c>
      <c r="C35" s="58" t="s">
        <v>127</v>
      </c>
      <c r="D35" s="135"/>
      <c r="E35" s="20">
        <f>140+72</f>
        <v>212</v>
      </c>
      <c r="F35" s="20">
        <f>150+89</f>
        <v>239</v>
      </c>
      <c r="G35" s="51">
        <f t="shared" si="6"/>
        <v>112.73584905660377</v>
      </c>
      <c r="H35" s="52"/>
      <c r="I35" s="52">
        <v>27050</v>
      </c>
      <c r="J35" s="52">
        <v>25990</v>
      </c>
      <c r="K35" s="51">
        <f t="shared" si="4"/>
        <v>96.081330868761555</v>
      </c>
    </row>
    <row r="36" spans="1:11" s="31" customFormat="1" ht="63">
      <c r="A36" s="134"/>
      <c r="B36" s="44" t="s">
        <v>22</v>
      </c>
      <c r="C36" s="58" t="s">
        <v>127</v>
      </c>
      <c r="D36" s="135"/>
      <c r="E36" s="20">
        <f>32+48</f>
        <v>80</v>
      </c>
      <c r="F36" s="20">
        <f>39+61</f>
        <v>100</v>
      </c>
      <c r="G36" s="51">
        <f t="shared" si="6"/>
        <v>125</v>
      </c>
      <c r="H36" s="52"/>
      <c r="I36" s="52">
        <v>11032</v>
      </c>
      <c r="J36" s="52">
        <v>11032</v>
      </c>
      <c r="K36" s="51">
        <f t="shared" si="4"/>
        <v>100</v>
      </c>
    </row>
    <row r="37" spans="1:11" s="31" customFormat="1" ht="63">
      <c r="A37" s="134"/>
      <c r="B37" s="44" t="s">
        <v>23</v>
      </c>
      <c r="C37" s="58" t="s">
        <v>127</v>
      </c>
      <c r="D37" s="135"/>
      <c r="E37" s="20">
        <f>80+12</f>
        <v>92</v>
      </c>
      <c r="F37" s="20">
        <f>80+16</f>
        <v>96</v>
      </c>
      <c r="G37" s="51">
        <f t="shared" si="6"/>
        <v>104.34782608695652</v>
      </c>
      <c r="H37" s="52"/>
      <c r="I37" s="52">
        <v>12580</v>
      </c>
      <c r="J37" s="52">
        <v>12580</v>
      </c>
      <c r="K37" s="51">
        <f t="shared" si="4"/>
        <v>100</v>
      </c>
    </row>
    <row r="38" spans="1:11" s="31" customFormat="1" ht="63">
      <c r="A38" s="134"/>
      <c r="B38" s="44" t="s">
        <v>24</v>
      </c>
      <c r="C38" s="58" t="s">
        <v>127</v>
      </c>
      <c r="D38" s="135"/>
      <c r="E38" s="20">
        <f>20+27</f>
        <v>47</v>
      </c>
      <c r="F38" s="20">
        <f>32+27</f>
        <v>59</v>
      </c>
      <c r="G38" s="51">
        <f t="shared" si="6"/>
        <v>125.53191489361701</v>
      </c>
      <c r="H38" s="52"/>
      <c r="I38" s="52">
        <v>9237</v>
      </c>
      <c r="J38" s="52">
        <v>9237</v>
      </c>
      <c r="K38" s="51">
        <f t="shared" si="4"/>
        <v>100</v>
      </c>
    </row>
    <row r="39" spans="1:11" s="31" customFormat="1" ht="63">
      <c r="A39" s="134"/>
      <c r="B39" s="44" t="s">
        <v>25</v>
      </c>
      <c r="C39" s="58" t="s">
        <v>127</v>
      </c>
      <c r="D39" s="135"/>
      <c r="E39" s="20">
        <f>42+30</f>
        <v>72</v>
      </c>
      <c r="F39" s="20">
        <f>76+41</f>
        <v>117</v>
      </c>
      <c r="G39" s="51">
        <f t="shared" si="6"/>
        <v>162.5</v>
      </c>
      <c r="H39" s="52"/>
      <c r="I39" s="52">
        <v>11204</v>
      </c>
      <c r="J39" s="52">
        <v>11204</v>
      </c>
      <c r="K39" s="51">
        <f t="shared" si="4"/>
        <v>100</v>
      </c>
    </row>
    <row r="40" spans="1:11" s="31" customFormat="1" ht="63">
      <c r="A40" s="134"/>
      <c r="B40" s="44" t="s">
        <v>26</v>
      </c>
      <c r="C40" s="58" t="s">
        <v>127</v>
      </c>
      <c r="D40" s="135"/>
      <c r="E40" s="20">
        <v>28</v>
      </c>
      <c r="F40" s="20">
        <v>30</v>
      </c>
      <c r="G40" s="51">
        <f t="shared" si="6"/>
        <v>107.14285714285714</v>
      </c>
      <c r="H40" s="52"/>
      <c r="I40" s="52">
        <v>3024</v>
      </c>
      <c r="J40" s="52">
        <v>3024</v>
      </c>
      <c r="K40" s="51">
        <f t="shared" si="4"/>
        <v>100</v>
      </c>
    </row>
    <row r="41" spans="1:11" s="31" customFormat="1" ht="63">
      <c r="A41" s="134"/>
      <c r="B41" s="44" t="s">
        <v>101</v>
      </c>
      <c r="C41" s="58" t="s">
        <v>127</v>
      </c>
      <c r="D41" s="135"/>
      <c r="E41" s="20">
        <v>10</v>
      </c>
      <c r="F41" s="20">
        <v>12</v>
      </c>
      <c r="G41" s="51">
        <f t="shared" si="6"/>
        <v>120</v>
      </c>
      <c r="H41" s="52"/>
      <c r="I41" s="52">
        <v>1671</v>
      </c>
      <c r="J41" s="52">
        <v>1671</v>
      </c>
      <c r="K41" s="51">
        <f t="shared" si="4"/>
        <v>100</v>
      </c>
    </row>
    <row r="42" spans="1:11" s="31" customFormat="1" ht="63">
      <c r="A42" s="134"/>
      <c r="B42" s="43" t="s">
        <v>27</v>
      </c>
      <c r="C42" s="58" t="s">
        <v>127</v>
      </c>
      <c r="D42" s="19">
        <f>SUM(D43:D47)</f>
        <v>0</v>
      </c>
      <c r="E42" s="19">
        <f>SUM(E43:E47)</f>
        <v>230</v>
      </c>
      <c r="F42" s="19">
        <f>SUM(F43:F47)</f>
        <v>297</v>
      </c>
      <c r="G42" s="76">
        <f t="shared" si="6"/>
        <v>129.13043478260872</v>
      </c>
      <c r="H42" s="19">
        <f>SUM(H43:H47)</f>
        <v>0</v>
      </c>
      <c r="I42" s="19">
        <f>SUM(I43:I47)</f>
        <v>39867</v>
      </c>
      <c r="J42" s="19">
        <f>SUM(J43:J47)</f>
        <v>38805</v>
      </c>
      <c r="K42" s="76">
        <f t="shared" si="4"/>
        <v>97.336142674392363</v>
      </c>
    </row>
    <row r="43" spans="1:11" s="31" customFormat="1" ht="63">
      <c r="A43" s="134"/>
      <c r="B43" s="44" t="s">
        <v>28</v>
      </c>
      <c r="C43" s="58" t="s">
        <v>127</v>
      </c>
      <c r="D43" s="135"/>
      <c r="E43" s="20">
        <f>100+42+4</f>
        <v>146</v>
      </c>
      <c r="F43" s="20">
        <f>112+66+5</f>
        <v>183</v>
      </c>
      <c r="G43" s="51">
        <f t="shared" si="6"/>
        <v>125.34246575342465</v>
      </c>
      <c r="H43" s="52"/>
      <c r="I43" s="52">
        <v>22128</v>
      </c>
      <c r="J43" s="52">
        <v>21066</v>
      </c>
      <c r="K43" s="51">
        <f t="shared" si="4"/>
        <v>95.200650759219087</v>
      </c>
    </row>
    <row r="44" spans="1:11" s="31" customFormat="1" ht="63">
      <c r="A44" s="134"/>
      <c r="B44" s="44" t="s">
        <v>29</v>
      </c>
      <c r="C44" s="58" t="s">
        <v>127</v>
      </c>
      <c r="D44" s="135"/>
      <c r="E44" s="20">
        <f>10+14</f>
        <v>24</v>
      </c>
      <c r="F44" s="20">
        <f>11+20</f>
        <v>31</v>
      </c>
      <c r="G44" s="51">
        <f t="shared" si="6"/>
        <v>129.16666666666669</v>
      </c>
      <c r="H44" s="52"/>
      <c r="I44" s="52">
        <v>6082</v>
      </c>
      <c r="J44" s="52">
        <v>6082</v>
      </c>
      <c r="K44" s="51">
        <f t="shared" si="4"/>
        <v>100</v>
      </c>
    </row>
    <row r="45" spans="1:11" s="31" customFormat="1" ht="63">
      <c r="A45" s="134"/>
      <c r="B45" s="44" t="s">
        <v>30</v>
      </c>
      <c r="C45" s="58" t="s">
        <v>127</v>
      </c>
      <c r="D45" s="135"/>
      <c r="E45" s="20">
        <f>26+6</f>
        <v>32</v>
      </c>
      <c r="F45" s="20">
        <f>34+6</f>
        <v>40</v>
      </c>
      <c r="G45" s="51">
        <f t="shared" si="6"/>
        <v>125</v>
      </c>
      <c r="H45" s="52"/>
      <c r="I45" s="52">
        <v>5690</v>
      </c>
      <c r="J45" s="52">
        <v>5690</v>
      </c>
      <c r="K45" s="51">
        <f t="shared" si="4"/>
        <v>100</v>
      </c>
    </row>
    <row r="46" spans="1:11" s="31" customFormat="1" ht="63">
      <c r="A46" s="134"/>
      <c r="B46" s="44" t="s">
        <v>31</v>
      </c>
      <c r="C46" s="58" t="s">
        <v>127</v>
      </c>
      <c r="D46" s="135"/>
      <c r="E46" s="20">
        <v>24</v>
      </c>
      <c r="F46" s="20">
        <v>39</v>
      </c>
      <c r="G46" s="51">
        <f t="shared" si="6"/>
        <v>162.5</v>
      </c>
      <c r="H46" s="52"/>
      <c r="I46" s="52">
        <v>1989</v>
      </c>
      <c r="J46" s="52">
        <v>1989</v>
      </c>
      <c r="K46" s="51">
        <f t="shared" si="4"/>
        <v>100</v>
      </c>
    </row>
    <row r="47" spans="1:11" s="31" customFormat="1" ht="63">
      <c r="A47" s="134"/>
      <c r="B47" s="44" t="s">
        <v>103</v>
      </c>
      <c r="C47" s="58" t="s">
        <v>127</v>
      </c>
      <c r="D47" s="135"/>
      <c r="E47" s="20">
        <v>4</v>
      </c>
      <c r="F47" s="20">
        <v>4</v>
      </c>
      <c r="G47" s="51">
        <f t="shared" si="6"/>
        <v>100</v>
      </c>
      <c r="H47" s="52"/>
      <c r="I47" s="52">
        <v>3978</v>
      </c>
      <c r="J47" s="52">
        <v>3978</v>
      </c>
      <c r="K47" s="51">
        <f t="shared" si="4"/>
        <v>100</v>
      </c>
    </row>
    <row r="48" spans="1:11" s="31" customFormat="1" ht="31.5">
      <c r="A48" s="134"/>
      <c r="B48" s="1" t="s">
        <v>10</v>
      </c>
      <c r="C48" s="83" t="s">
        <v>129</v>
      </c>
      <c r="D48" s="69"/>
      <c r="E48" s="19">
        <v>54</v>
      </c>
      <c r="F48" s="19">
        <v>54</v>
      </c>
      <c r="G48" s="76">
        <f t="shared" si="6"/>
        <v>100</v>
      </c>
      <c r="H48" s="54"/>
      <c r="I48" s="54">
        <v>2374</v>
      </c>
      <c r="J48" s="54">
        <v>2374</v>
      </c>
      <c r="K48" s="76">
        <f t="shared" si="4"/>
        <v>100</v>
      </c>
    </row>
    <row r="49" spans="1:16" s="31" customFormat="1" ht="31.5">
      <c r="A49" s="134"/>
      <c r="B49" s="1" t="s">
        <v>11</v>
      </c>
      <c r="C49" s="83" t="s">
        <v>129</v>
      </c>
      <c r="D49" s="69"/>
      <c r="E49" s="19">
        <v>9</v>
      </c>
      <c r="F49" s="19">
        <v>9</v>
      </c>
      <c r="G49" s="76">
        <f t="shared" si="6"/>
        <v>100</v>
      </c>
      <c r="H49" s="54"/>
      <c r="I49" s="54">
        <v>1583</v>
      </c>
      <c r="J49" s="54">
        <v>1583</v>
      </c>
      <c r="K49" s="76">
        <f t="shared" si="4"/>
        <v>100</v>
      </c>
    </row>
    <row r="50" spans="1:16" s="31" customFormat="1" ht="63">
      <c r="A50" s="134"/>
      <c r="B50" s="1" t="s">
        <v>18</v>
      </c>
      <c r="C50" s="83" t="s">
        <v>130</v>
      </c>
      <c r="D50" s="69"/>
      <c r="E50" s="19">
        <v>231</v>
      </c>
      <c r="F50" s="19">
        <v>231</v>
      </c>
      <c r="G50" s="76">
        <f t="shared" si="6"/>
        <v>100</v>
      </c>
      <c r="H50" s="54"/>
      <c r="I50" s="54">
        <v>792</v>
      </c>
      <c r="J50" s="54">
        <v>792</v>
      </c>
      <c r="K50" s="76">
        <f t="shared" si="4"/>
        <v>100</v>
      </c>
    </row>
    <row r="51" spans="1:16" s="31" customFormat="1" ht="47.25">
      <c r="A51" s="134"/>
      <c r="B51" s="1" t="s">
        <v>15</v>
      </c>
      <c r="C51" s="83" t="s">
        <v>129</v>
      </c>
      <c r="D51" s="69"/>
      <c r="E51" s="19">
        <v>3</v>
      </c>
      <c r="F51" s="19">
        <v>6</v>
      </c>
      <c r="G51" s="76">
        <f t="shared" si="6"/>
        <v>200</v>
      </c>
      <c r="H51" s="54"/>
      <c r="I51" s="54">
        <v>1979</v>
      </c>
      <c r="J51" s="54">
        <v>1979</v>
      </c>
      <c r="K51" s="76">
        <f t="shared" si="4"/>
        <v>100</v>
      </c>
    </row>
    <row r="52" spans="1:16" s="31" customFormat="1" ht="31.5">
      <c r="A52" s="134"/>
      <c r="B52" s="1" t="s">
        <v>16</v>
      </c>
      <c r="C52" s="83" t="s">
        <v>129</v>
      </c>
      <c r="D52" s="69"/>
      <c r="E52" s="19">
        <v>110</v>
      </c>
      <c r="F52" s="19">
        <v>110</v>
      </c>
      <c r="G52" s="76">
        <f t="shared" si="6"/>
        <v>100</v>
      </c>
      <c r="H52" s="54"/>
      <c r="I52" s="54">
        <v>1187</v>
      </c>
      <c r="J52" s="54">
        <v>1187</v>
      </c>
      <c r="K52" s="76">
        <f t="shared" si="4"/>
        <v>100</v>
      </c>
    </row>
    <row r="53" spans="1:16" s="33" customFormat="1" ht="37.5">
      <c r="A53" s="136"/>
      <c r="B53" s="111" t="s">
        <v>113</v>
      </c>
      <c r="C53" s="21"/>
      <c r="D53" s="77"/>
      <c r="E53" s="137"/>
      <c r="F53" s="137"/>
      <c r="G53" s="51"/>
      <c r="H53" s="77">
        <f>149834-639</f>
        <v>149195</v>
      </c>
      <c r="I53" s="52"/>
      <c r="J53" s="52"/>
      <c r="K53" s="26"/>
    </row>
    <row r="54" spans="1:16" s="30" customFormat="1" ht="40.5">
      <c r="A54" s="138" t="s">
        <v>114</v>
      </c>
      <c r="B54" s="104" t="s">
        <v>115</v>
      </c>
      <c r="C54" s="127"/>
      <c r="D54" s="139">
        <f t="shared" ref="D54:F54" si="14">D55</f>
        <v>59160</v>
      </c>
      <c r="E54" s="140">
        <f t="shared" si="14"/>
        <v>59160</v>
      </c>
      <c r="F54" s="140">
        <f t="shared" si="14"/>
        <v>59280</v>
      </c>
      <c r="G54" s="141">
        <f>F54/E54*100</f>
        <v>100.2028397565923</v>
      </c>
      <c r="H54" s="142">
        <f>H55+H57</f>
        <v>11822</v>
      </c>
      <c r="I54" s="142">
        <f t="shared" ref="I54:J54" si="15">I55</f>
        <v>11809</v>
      </c>
      <c r="J54" s="142">
        <f t="shared" si="15"/>
        <v>11809</v>
      </c>
      <c r="K54" s="129">
        <f t="shared" ref="K54:K56" si="16">J54/I54*100</f>
        <v>100</v>
      </c>
    </row>
    <row r="55" spans="1:16" s="30" customFormat="1" ht="18.75">
      <c r="A55" s="68" t="s">
        <v>146</v>
      </c>
      <c r="B55" s="71" t="s">
        <v>96</v>
      </c>
      <c r="C55" s="45"/>
      <c r="D55" s="78">
        <f>D56</f>
        <v>59160</v>
      </c>
      <c r="E55" s="53">
        <f>E56</f>
        <v>59160</v>
      </c>
      <c r="F55" s="53">
        <f>F56</f>
        <v>59280</v>
      </c>
      <c r="G55" s="46">
        <f>F55/E55*100</f>
        <v>100.2028397565923</v>
      </c>
      <c r="H55" s="62">
        <f>H56</f>
        <v>11561</v>
      </c>
      <c r="I55" s="62">
        <f>I56</f>
        <v>11809</v>
      </c>
      <c r="J55" s="62">
        <f>J56</f>
        <v>11809</v>
      </c>
      <c r="K55" s="56">
        <f t="shared" si="16"/>
        <v>100</v>
      </c>
      <c r="L55" s="32"/>
    </row>
    <row r="56" spans="1:16" s="30" customFormat="1" ht="18.75">
      <c r="A56" s="35"/>
      <c r="B56" s="12" t="s">
        <v>97</v>
      </c>
      <c r="C56" s="57" t="s">
        <v>116</v>
      </c>
      <c r="D56" s="79">
        <v>59160</v>
      </c>
      <c r="E56" s="75">
        <v>59160</v>
      </c>
      <c r="F56" s="75">
        <v>59280</v>
      </c>
      <c r="G56" s="76">
        <f>F56/E56*100</f>
        <v>100.2028397565923</v>
      </c>
      <c r="H56" s="62">
        <v>11561</v>
      </c>
      <c r="I56" s="62">
        <v>11809</v>
      </c>
      <c r="J56" s="62">
        <v>11809</v>
      </c>
      <c r="K56" s="70">
        <f t="shared" si="16"/>
        <v>100</v>
      </c>
      <c r="L56" s="32"/>
    </row>
    <row r="57" spans="1:16" s="30" customFormat="1" ht="37.5">
      <c r="A57" s="136"/>
      <c r="B57" s="111" t="s">
        <v>113</v>
      </c>
      <c r="C57" s="143"/>
      <c r="D57" s="144"/>
      <c r="E57" s="137"/>
      <c r="F57" s="137"/>
      <c r="G57" s="51"/>
      <c r="H57" s="132">
        <f>11822-11561</f>
        <v>261</v>
      </c>
      <c r="I57" s="132"/>
      <c r="J57" s="132"/>
      <c r="K57" s="26"/>
      <c r="L57" s="32"/>
    </row>
    <row r="58" spans="1:16" s="39" customFormat="1" ht="40.5">
      <c r="A58" s="138" t="s">
        <v>117</v>
      </c>
      <c r="B58" s="145" t="s">
        <v>118</v>
      </c>
      <c r="C58" s="146"/>
      <c r="D58" s="142">
        <f>D59+D103+D112+D118+D125+D126</f>
        <v>21829</v>
      </c>
      <c r="E58" s="142">
        <f>E59+E103+E112+E118+E125+E126</f>
        <v>23798</v>
      </c>
      <c r="F58" s="142">
        <f>F59+F103+F112+F118+F125+F126</f>
        <v>23784</v>
      </c>
      <c r="G58" s="147">
        <f>F58/E58*100</f>
        <v>99.94117152701908</v>
      </c>
      <c r="H58" s="142">
        <f>H59+H103+H112+H118+H125+H126</f>
        <v>1571618</v>
      </c>
      <c r="I58" s="142">
        <f t="shared" ref="I58:J58" si="17">I59+I103+I112+I118+I125+I126</f>
        <v>1563484</v>
      </c>
      <c r="J58" s="142">
        <f t="shared" si="17"/>
        <v>1543130</v>
      </c>
      <c r="K58" s="148">
        <f t="shared" ref="K58:K105" si="18">J58/I58*100</f>
        <v>98.698163844337401</v>
      </c>
    </row>
    <row r="59" spans="1:16" s="30" customFormat="1" ht="18.75">
      <c r="A59" s="85" t="s">
        <v>34</v>
      </c>
      <c r="B59" s="63" t="s">
        <v>119</v>
      </c>
      <c r="C59" s="36"/>
      <c r="D59" s="69">
        <f>D60+D71+D65+D78+D99+D101</f>
        <v>15317</v>
      </c>
      <c r="E59" s="69">
        <f>E60+E71+E65+E78+E99+E101</f>
        <v>16921</v>
      </c>
      <c r="F59" s="69">
        <f>F60+F71+F65+F78+F99+F101</f>
        <v>16921</v>
      </c>
      <c r="G59" s="59">
        <f t="shared" ref="G59:G106" si="19">F59/E59*100</f>
        <v>100</v>
      </c>
      <c r="H59" s="69">
        <f>H60+H65+H71+H78+H99+H101</f>
        <v>813016</v>
      </c>
      <c r="I59" s="69">
        <f>I60+I65+I71+I79+I83+I87+I91+I95+I101+I99</f>
        <v>774126</v>
      </c>
      <c r="J59" s="69">
        <f>J60+J65+J71+J79+J83+J87+J91+J95+J101+J99</f>
        <v>774126</v>
      </c>
      <c r="K59" s="64">
        <f t="shared" si="18"/>
        <v>100</v>
      </c>
      <c r="L59" s="149"/>
      <c r="M59" s="150"/>
      <c r="N59" s="150"/>
      <c r="O59" s="150"/>
      <c r="P59" s="150"/>
    </row>
    <row r="60" spans="1:16" s="39" customFormat="1" ht="18.75">
      <c r="A60" s="37"/>
      <c r="B60" s="23" t="s">
        <v>75</v>
      </c>
      <c r="C60" s="29" t="s">
        <v>32</v>
      </c>
      <c r="D60" s="28">
        <f>SUM(D61:D64)</f>
        <v>2270</v>
      </c>
      <c r="E60" s="28">
        <f t="shared" ref="E60:F60" si="20">SUM(E61:E64)</f>
        <v>2263</v>
      </c>
      <c r="F60" s="28">
        <f t="shared" si="20"/>
        <v>2263</v>
      </c>
      <c r="G60" s="59">
        <f t="shared" si="19"/>
        <v>100</v>
      </c>
      <c r="H60" s="28">
        <f>SUM(H61:H64)</f>
        <v>257282</v>
      </c>
      <c r="I60" s="28">
        <f t="shared" ref="I60:J60" si="21">SUM(I61:I64)</f>
        <v>256120</v>
      </c>
      <c r="J60" s="28">
        <f t="shared" si="21"/>
        <v>256120</v>
      </c>
      <c r="K60" s="59">
        <f>J60/I60*100</f>
        <v>100</v>
      </c>
      <c r="L60" s="31"/>
    </row>
    <row r="61" spans="1:16" s="39" customFormat="1" ht="32.25">
      <c r="A61" s="38"/>
      <c r="B61" s="5" t="s">
        <v>133</v>
      </c>
      <c r="C61" s="21" t="s">
        <v>32</v>
      </c>
      <c r="D61" s="8">
        <v>94</v>
      </c>
      <c r="E61" s="151">
        <v>110</v>
      </c>
      <c r="F61" s="151">
        <v>110</v>
      </c>
      <c r="G61" s="18">
        <f t="shared" si="19"/>
        <v>100</v>
      </c>
      <c r="H61" s="77">
        <v>13917</v>
      </c>
      <c r="I61" s="77">
        <v>16256</v>
      </c>
      <c r="J61" s="77">
        <v>16256</v>
      </c>
      <c r="K61" s="9">
        <f t="shared" si="18"/>
        <v>100</v>
      </c>
      <c r="L61" s="152"/>
    </row>
    <row r="62" spans="1:16" s="30" customFormat="1" ht="32.25">
      <c r="A62" s="38"/>
      <c r="B62" s="5" t="s">
        <v>134</v>
      </c>
      <c r="C62" s="21" t="s">
        <v>32</v>
      </c>
      <c r="D62" s="8">
        <v>2</v>
      </c>
      <c r="E62" s="8">
        <v>3</v>
      </c>
      <c r="F62" s="8">
        <v>3</v>
      </c>
      <c r="G62" s="18">
        <f t="shared" si="19"/>
        <v>100</v>
      </c>
      <c r="H62" s="77">
        <v>1578</v>
      </c>
      <c r="I62" s="77">
        <v>2328</v>
      </c>
      <c r="J62" s="77">
        <v>2328</v>
      </c>
      <c r="K62" s="9">
        <f t="shared" si="18"/>
        <v>100</v>
      </c>
      <c r="L62" s="32"/>
    </row>
    <row r="63" spans="1:16" s="30" customFormat="1" ht="18.75">
      <c r="A63" s="38"/>
      <c r="B63" s="5" t="s">
        <v>76</v>
      </c>
      <c r="C63" s="21" t="s">
        <v>32</v>
      </c>
      <c r="D63" s="8">
        <v>2171</v>
      </c>
      <c r="E63" s="8">
        <v>2147</v>
      </c>
      <c r="F63" s="8">
        <v>2147</v>
      </c>
      <c r="G63" s="18">
        <f t="shared" si="19"/>
        <v>100</v>
      </c>
      <c r="H63" s="80">
        <v>239420</v>
      </c>
      <c r="I63" s="77">
        <f>235209-1</f>
        <v>235208</v>
      </c>
      <c r="J63" s="77">
        <f>235209-1</f>
        <v>235208</v>
      </c>
      <c r="K63" s="9">
        <f t="shared" si="18"/>
        <v>100</v>
      </c>
      <c r="L63" s="32"/>
    </row>
    <row r="64" spans="1:16" s="39" customFormat="1" ht="18.75">
      <c r="A64" s="38"/>
      <c r="B64" s="5" t="s">
        <v>77</v>
      </c>
      <c r="C64" s="21" t="s">
        <v>32</v>
      </c>
      <c r="D64" s="8">
        <v>3</v>
      </c>
      <c r="E64" s="8">
        <v>3</v>
      </c>
      <c r="F64" s="8">
        <v>3</v>
      </c>
      <c r="G64" s="18">
        <f t="shared" si="19"/>
        <v>100</v>
      </c>
      <c r="H64" s="80">
        <v>2367</v>
      </c>
      <c r="I64" s="77">
        <v>2328</v>
      </c>
      <c r="J64" s="77">
        <v>2328</v>
      </c>
      <c r="K64" s="9">
        <f t="shared" si="18"/>
        <v>100</v>
      </c>
      <c r="L64" s="31"/>
    </row>
    <row r="65" spans="1:16" s="30" customFormat="1" ht="18.75">
      <c r="A65" s="38"/>
      <c r="B65" s="23" t="s">
        <v>78</v>
      </c>
      <c r="C65" s="24" t="s">
        <v>32</v>
      </c>
      <c r="D65" s="28">
        <f>SUM(D66:D70)</f>
        <v>2594</v>
      </c>
      <c r="E65" s="28">
        <f t="shared" ref="E65:F65" si="22">SUM(E66:E70)</f>
        <v>2571</v>
      </c>
      <c r="F65" s="28">
        <f t="shared" si="22"/>
        <v>2571</v>
      </c>
      <c r="G65" s="59">
        <f t="shared" si="19"/>
        <v>100</v>
      </c>
      <c r="H65" s="28">
        <f>SUM(H66:H70)</f>
        <v>334201</v>
      </c>
      <c r="I65" s="28">
        <f t="shared" ref="I65:J65" si="23">SUM(I66:I70)</f>
        <v>329529</v>
      </c>
      <c r="J65" s="28">
        <f t="shared" si="23"/>
        <v>329529</v>
      </c>
      <c r="K65" s="64">
        <f t="shared" si="18"/>
        <v>100</v>
      </c>
      <c r="L65" s="32"/>
    </row>
    <row r="66" spans="1:16" s="30" customFormat="1" ht="32.25">
      <c r="A66" s="38"/>
      <c r="B66" s="5" t="s">
        <v>135</v>
      </c>
      <c r="C66" s="21" t="s">
        <v>32</v>
      </c>
      <c r="D66" s="8">
        <v>115</v>
      </c>
      <c r="E66" s="8">
        <v>133</v>
      </c>
      <c r="F66" s="8">
        <v>133</v>
      </c>
      <c r="G66" s="18">
        <f t="shared" si="19"/>
        <v>100</v>
      </c>
      <c r="H66" s="77">
        <v>16104</v>
      </c>
      <c r="I66" s="77">
        <v>19702</v>
      </c>
      <c r="J66" s="77">
        <v>19702</v>
      </c>
      <c r="K66" s="9">
        <f t="shared" si="18"/>
        <v>100</v>
      </c>
      <c r="L66" s="32"/>
    </row>
    <row r="67" spans="1:16" s="30" customFormat="1" ht="32.25">
      <c r="A67" s="37"/>
      <c r="B67" s="5" t="s">
        <v>136</v>
      </c>
      <c r="C67" s="21" t="s">
        <v>32</v>
      </c>
      <c r="D67" s="8">
        <v>1</v>
      </c>
      <c r="E67" s="8">
        <v>1</v>
      </c>
      <c r="F67" s="8">
        <v>1</v>
      </c>
      <c r="G67" s="18">
        <f>F67/E67*100</f>
        <v>100</v>
      </c>
      <c r="H67" s="77">
        <v>789</v>
      </c>
      <c r="I67" s="77">
        <f>776-1</f>
        <v>775</v>
      </c>
      <c r="J67" s="77">
        <f>776-1</f>
        <v>775</v>
      </c>
      <c r="K67" s="9">
        <f t="shared" si="18"/>
        <v>100</v>
      </c>
      <c r="L67" s="153"/>
      <c r="M67" s="150"/>
      <c r="N67" s="150"/>
      <c r="O67" s="150"/>
      <c r="P67" s="150"/>
    </row>
    <row r="68" spans="1:16" s="30" customFormat="1" ht="32.25">
      <c r="A68" s="38"/>
      <c r="B68" s="5" t="s">
        <v>137</v>
      </c>
      <c r="C68" s="21" t="s">
        <v>32</v>
      </c>
      <c r="D68" s="8">
        <v>478</v>
      </c>
      <c r="E68" s="8">
        <v>430</v>
      </c>
      <c r="F68" s="8">
        <v>430</v>
      </c>
      <c r="G68" s="18">
        <f t="shared" si="19"/>
        <v>100</v>
      </c>
      <c r="H68" s="77">
        <v>63910</v>
      </c>
      <c r="I68" s="77">
        <v>57978</v>
      </c>
      <c r="J68" s="77">
        <v>57978</v>
      </c>
      <c r="K68" s="9">
        <f t="shared" si="18"/>
        <v>100</v>
      </c>
      <c r="L68" s="153"/>
      <c r="M68" s="150"/>
      <c r="N68" s="150"/>
      <c r="O68" s="150"/>
      <c r="P68" s="150"/>
    </row>
    <row r="69" spans="1:16" s="30" customFormat="1" ht="18.75">
      <c r="A69" s="38"/>
      <c r="B69" s="5" t="s">
        <v>79</v>
      </c>
      <c r="C69" s="21" t="s">
        <v>32</v>
      </c>
      <c r="D69" s="8">
        <v>1996</v>
      </c>
      <c r="E69" s="8">
        <v>2003</v>
      </c>
      <c r="F69" s="8">
        <v>2003</v>
      </c>
      <c r="G69" s="18">
        <f t="shared" si="19"/>
        <v>100</v>
      </c>
      <c r="H69" s="77">
        <f>250241+1</f>
        <v>250242</v>
      </c>
      <c r="I69" s="77">
        <f>247970-1</f>
        <v>247969</v>
      </c>
      <c r="J69" s="77">
        <f>247970-1</f>
        <v>247969</v>
      </c>
      <c r="K69" s="9">
        <f>J69/I69*100</f>
        <v>100</v>
      </c>
      <c r="L69" s="32"/>
    </row>
    <row r="70" spans="1:16" s="39" customFormat="1" ht="18.75">
      <c r="A70" s="38"/>
      <c r="B70" s="5" t="s">
        <v>102</v>
      </c>
      <c r="C70" s="21" t="s">
        <v>32</v>
      </c>
      <c r="D70" s="8">
        <v>4</v>
      </c>
      <c r="E70" s="8">
        <v>4</v>
      </c>
      <c r="F70" s="8">
        <v>4</v>
      </c>
      <c r="G70" s="18">
        <f t="shared" si="19"/>
        <v>100</v>
      </c>
      <c r="H70" s="77">
        <v>3156</v>
      </c>
      <c r="I70" s="77">
        <v>3105</v>
      </c>
      <c r="J70" s="77">
        <v>3105</v>
      </c>
      <c r="K70" s="9">
        <f t="shared" si="18"/>
        <v>100</v>
      </c>
      <c r="L70" s="31"/>
    </row>
    <row r="71" spans="1:16" s="39" customFormat="1" ht="18.75">
      <c r="A71" s="40"/>
      <c r="B71" s="23" t="s">
        <v>80</v>
      </c>
      <c r="C71" s="24" t="s">
        <v>32</v>
      </c>
      <c r="D71" s="27">
        <f>SUM(D72:D77)</f>
        <v>496</v>
      </c>
      <c r="E71" s="27">
        <f t="shared" ref="E71:F71" si="24">SUM(E72:E77)</f>
        <v>494</v>
      </c>
      <c r="F71" s="27">
        <f t="shared" si="24"/>
        <v>494</v>
      </c>
      <c r="G71" s="59">
        <f t="shared" si="19"/>
        <v>100</v>
      </c>
      <c r="H71" s="28">
        <f>SUM(H72:H77)</f>
        <v>71706</v>
      </c>
      <c r="I71" s="28">
        <f t="shared" ref="I71:J71" si="25">SUM(I72:I77)</f>
        <v>72918</v>
      </c>
      <c r="J71" s="28">
        <f t="shared" si="25"/>
        <v>72918</v>
      </c>
      <c r="K71" s="64">
        <f t="shared" si="18"/>
        <v>100</v>
      </c>
      <c r="L71" s="31"/>
    </row>
    <row r="72" spans="1:16" s="30" customFormat="1" ht="32.25">
      <c r="A72" s="38"/>
      <c r="B72" s="5" t="s">
        <v>138</v>
      </c>
      <c r="C72" s="21" t="s">
        <v>32</v>
      </c>
      <c r="D72" s="8">
        <v>2</v>
      </c>
      <c r="E72" s="8">
        <v>1</v>
      </c>
      <c r="F72" s="8">
        <v>1</v>
      </c>
      <c r="G72" s="18">
        <f t="shared" si="19"/>
        <v>100</v>
      </c>
      <c r="H72" s="80">
        <v>265</v>
      </c>
      <c r="I72" s="77">
        <v>305</v>
      </c>
      <c r="J72" s="77">
        <v>305</v>
      </c>
      <c r="K72" s="9">
        <f t="shared" si="18"/>
        <v>100</v>
      </c>
      <c r="L72" s="32"/>
    </row>
    <row r="73" spans="1:16" s="39" customFormat="1" ht="32.25">
      <c r="A73" s="38"/>
      <c r="B73" s="5" t="s">
        <v>139</v>
      </c>
      <c r="C73" s="21" t="s">
        <v>32</v>
      </c>
      <c r="D73" s="8">
        <v>1</v>
      </c>
      <c r="E73" s="8">
        <v>1</v>
      </c>
      <c r="F73" s="8">
        <v>1</v>
      </c>
      <c r="G73" s="18">
        <f t="shared" si="19"/>
        <v>100</v>
      </c>
      <c r="H73" s="80">
        <v>789</v>
      </c>
      <c r="I73" s="77">
        <v>777</v>
      </c>
      <c r="J73" s="77">
        <v>777</v>
      </c>
      <c r="K73" s="9">
        <f t="shared" si="18"/>
        <v>100</v>
      </c>
      <c r="L73" s="31"/>
    </row>
    <row r="74" spans="1:16" s="30" customFormat="1" ht="32.25">
      <c r="A74" s="38"/>
      <c r="B74" s="5" t="s">
        <v>140</v>
      </c>
      <c r="C74" s="21" t="s">
        <v>32</v>
      </c>
      <c r="D74" s="8">
        <v>416</v>
      </c>
      <c r="E74" s="8">
        <v>396</v>
      </c>
      <c r="F74" s="8">
        <v>396</v>
      </c>
      <c r="G74" s="18">
        <f t="shared" si="19"/>
        <v>100</v>
      </c>
      <c r="H74" s="80">
        <v>59224</v>
      </c>
      <c r="I74" s="77">
        <f>57777-1</f>
        <v>57776</v>
      </c>
      <c r="J74" s="77">
        <f>57777-1</f>
        <v>57776</v>
      </c>
      <c r="K74" s="9">
        <f t="shared" si="18"/>
        <v>100</v>
      </c>
      <c r="L74" s="32"/>
    </row>
    <row r="75" spans="1:16" s="30" customFormat="1" ht="48">
      <c r="A75" s="38"/>
      <c r="B75" s="5" t="s">
        <v>141</v>
      </c>
      <c r="C75" s="21" t="s">
        <v>32</v>
      </c>
      <c r="D75" s="8">
        <v>1</v>
      </c>
      <c r="E75" s="8">
        <v>1</v>
      </c>
      <c r="F75" s="8">
        <v>1</v>
      </c>
      <c r="G75" s="18">
        <f t="shared" si="19"/>
        <v>100</v>
      </c>
      <c r="H75" s="80">
        <v>789</v>
      </c>
      <c r="I75" s="77">
        <v>777</v>
      </c>
      <c r="J75" s="77">
        <v>777</v>
      </c>
      <c r="K75" s="9">
        <f t="shared" si="18"/>
        <v>100</v>
      </c>
      <c r="L75" s="32"/>
    </row>
    <row r="76" spans="1:16" s="30" customFormat="1" ht="18.75">
      <c r="A76" s="38"/>
      <c r="B76" s="5" t="s">
        <v>81</v>
      </c>
      <c r="C76" s="21" t="s">
        <v>32</v>
      </c>
      <c r="D76" s="8">
        <v>75</v>
      </c>
      <c r="E76" s="8">
        <v>94</v>
      </c>
      <c r="F76" s="8">
        <v>94</v>
      </c>
      <c r="G76" s="18">
        <f t="shared" si="19"/>
        <v>100</v>
      </c>
      <c r="H76" s="80">
        <v>10608</v>
      </c>
      <c r="I76" s="80">
        <v>13248</v>
      </c>
      <c r="J76" s="80">
        <v>13248</v>
      </c>
      <c r="K76" s="9">
        <f t="shared" si="18"/>
        <v>100</v>
      </c>
      <c r="L76" s="153"/>
      <c r="M76" s="150"/>
      <c r="N76" s="150"/>
      <c r="O76" s="150"/>
      <c r="P76" s="150"/>
    </row>
    <row r="77" spans="1:16" s="30" customFormat="1" ht="48">
      <c r="A77" s="37"/>
      <c r="B77" s="5" t="s">
        <v>48</v>
      </c>
      <c r="C77" s="21" t="s">
        <v>132</v>
      </c>
      <c r="D77" s="8">
        <v>1</v>
      </c>
      <c r="E77" s="8">
        <v>1</v>
      </c>
      <c r="F77" s="8">
        <v>1</v>
      </c>
      <c r="G77" s="8">
        <f t="shared" ref="G77" si="26">G78+G79+G80+G81+G82</f>
        <v>500</v>
      </c>
      <c r="H77" s="8">
        <v>31</v>
      </c>
      <c r="I77" s="8">
        <v>35</v>
      </c>
      <c r="J77" s="8">
        <v>35</v>
      </c>
      <c r="K77" s="9">
        <f t="shared" si="18"/>
        <v>100</v>
      </c>
      <c r="L77" s="153"/>
      <c r="M77" s="150"/>
      <c r="N77" s="150"/>
      <c r="O77" s="150"/>
      <c r="P77" s="150"/>
    </row>
    <row r="78" spans="1:16" s="39" customFormat="1" ht="18.75">
      <c r="A78" s="40"/>
      <c r="B78" s="23" t="s">
        <v>33</v>
      </c>
      <c r="C78" s="24" t="s">
        <v>32</v>
      </c>
      <c r="D78" s="27">
        <f>D79+D83+D87+D91+D95</f>
        <v>4674</v>
      </c>
      <c r="E78" s="27">
        <f>E79+E83+E87+E91+E95</f>
        <v>4585</v>
      </c>
      <c r="F78" s="27">
        <f>F79+F83+F87+F91+F95</f>
        <v>4585</v>
      </c>
      <c r="G78" s="60">
        <f t="shared" si="19"/>
        <v>100</v>
      </c>
      <c r="H78" s="27">
        <f>H79+H83+H87+H91+H95</f>
        <v>140546</v>
      </c>
      <c r="I78" s="27">
        <f t="shared" ref="I78:J78" si="27">I79+I83+I87+I91+I95</f>
        <v>101736</v>
      </c>
      <c r="J78" s="27">
        <f t="shared" si="27"/>
        <v>101736</v>
      </c>
      <c r="K78" s="65">
        <f t="shared" si="18"/>
        <v>100</v>
      </c>
      <c r="L78" s="31"/>
    </row>
    <row r="79" spans="1:16" s="39" customFormat="1" ht="18.75">
      <c r="A79" s="38"/>
      <c r="B79" s="5" t="s">
        <v>35</v>
      </c>
      <c r="C79" s="21" t="s">
        <v>32</v>
      </c>
      <c r="D79" s="8">
        <f>SUM(D80:D82)</f>
        <v>1688</v>
      </c>
      <c r="E79" s="8">
        <f t="shared" ref="E79:F79" si="28">SUM(E80:E82)</f>
        <v>1734</v>
      </c>
      <c r="F79" s="8">
        <f t="shared" si="28"/>
        <v>1734</v>
      </c>
      <c r="G79" s="18">
        <f t="shared" si="19"/>
        <v>100</v>
      </c>
      <c r="H79" s="8">
        <f>SUM(H80:H82)</f>
        <v>85800</v>
      </c>
      <c r="I79" s="8">
        <f t="shared" ref="I79:J79" si="29">SUM(I80:I82)</f>
        <v>67247</v>
      </c>
      <c r="J79" s="8">
        <f t="shared" si="29"/>
        <v>67247</v>
      </c>
      <c r="K79" s="9">
        <f t="shared" si="18"/>
        <v>100</v>
      </c>
      <c r="L79" s="31"/>
    </row>
    <row r="80" spans="1:16" s="30" customFormat="1" ht="18.75">
      <c r="A80" s="38"/>
      <c r="B80" s="10" t="s">
        <v>36</v>
      </c>
      <c r="C80" s="21" t="s">
        <v>32</v>
      </c>
      <c r="D80" s="8">
        <v>749</v>
      </c>
      <c r="E80" s="8">
        <v>781</v>
      </c>
      <c r="F80" s="8">
        <v>781</v>
      </c>
      <c r="G80" s="18">
        <f t="shared" si="19"/>
        <v>100</v>
      </c>
      <c r="H80" s="77">
        <v>38071</v>
      </c>
      <c r="I80" s="77">
        <v>30332</v>
      </c>
      <c r="J80" s="77">
        <v>30332</v>
      </c>
      <c r="K80" s="9">
        <f t="shared" si="18"/>
        <v>100</v>
      </c>
      <c r="L80" s="32"/>
    </row>
    <row r="81" spans="1:16" s="30" customFormat="1" ht="18.75">
      <c r="A81" s="38"/>
      <c r="B81" s="10" t="s">
        <v>37</v>
      </c>
      <c r="C81" s="21" t="s">
        <v>32</v>
      </c>
      <c r="D81" s="8">
        <v>817</v>
      </c>
      <c r="E81" s="8">
        <v>837</v>
      </c>
      <c r="F81" s="8">
        <v>837</v>
      </c>
      <c r="G81" s="18">
        <f t="shared" si="19"/>
        <v>100</v>
      </c>
      <c r="H81" s="80">
        <v>41528</v>
      </c>
      <c r="I81" s="80">
        <v>32428</v>
      </c>
      <c r="J81" s="80">
        <v>32428</v>
      </c>
      <c r="K81" s="9">
        <f t="shared" si="18"/>
        <v>100</v>
      </c>
      <c r="L81" s="32"/>
    </row>
    <row r="82" spans="1:16" s="39" customFormat="1" ht="18.75">
      <c r="A82" s="38"/>
      <c r="B82" s="10" t="s">
        <v>38</v>
      </c>
      <c r="C82" s="21" t="s">
        <v>32</v>
      </c>
      <c r="D82" s="8">
        <v>122</v>
      </c>
      <c r="E82" s="8">
        <v>116</v>
      </c>
      <c r="F82" s="8">
        <v>116</v>
      </c>
      <c r="G82" s="18">
        <f t="shared" si="19"/>
        <v>100</v>
      </c>
      <c r="H82" s="80">
        <v>6201</v>
      </c>
      <c r="I82" s="80">
        <v>4487</v>
      </c>
      <c r="J82" s="80">
        <v>4487</v>
      </c>
      <c r="K82" s="9">
        <f t="shared" si="18"/>
        <v>100</v>
      </c>
      <c r="L82" s="31"/>
    </row>
    <row r="83" spans="1:16" s="30" customFormat="1" ht="32.25">
      <c r="A83" s="38"/>
      <c r="B83" s="5" t="s">
        <v>40</v>
      </c>
      <c r="C83" s="21" t="s">
        <v>32</v>
      </c>
      <c r="D83" s="8">
        <f>SUM(D84:D86)</f>
        <v>5</v>
      </c>
      <c r="E83" s="8">
        <f t="shared" ref="E83:F83" si="30">SUM(E84:E86)</f>
        <v>6</v>
      </c>
      <c r="F83" s="8">
        <f t="shared" si="30"/>
        <v>6</v>
      </c>
      <c r="G83" s="18">
        <f t="shared" si="19"/>
        <v>100</v>
      </c>
      <c r="H83" s="8">
        <f>SUM(H84:H86)</f>
        <v>135</v>
      </c>
      <c r="I83" s="8">
        <f t="shared" ref="I83:J83" si="31">SUM(I84:I86)</f>
        <v>162</v>
      </c>
      <c r="J83" s="8">
        <f t="shared" si="31"/>
        <v>162</v>
      </c>
      <c r="K83" s="9">
        <f t="shared" si="18"/>
        <v>100</v>
      </c>
      <c r="L83" s="32"/>
    </row>
    <row r="84" spans="1:16" s="30" customFormat="1" ht="18.75">
      <c r="A84" s="40"/>
      <c r="B84" s="10" t="s">
        <v>36</v>
      </c>
      <c r="C84" s="21" t="s">
        <v>32</v>
      </c>
      <c r="D84" s="8">
        <v>3</v>
      </c>
      <c r="E84" s="8">
        <v>4</v>
      </c>
      <c r="F84" s="8">
        <v>4</v>
      </c>
      <c r="G84" s="18">
        <f t="shared" si="19"/>
        <v>100</v>
      </c>
      <c r="H84" s="8">
        <v>81</v>
      </c>
      <c r="I84" s="8">
        <v>108</v>
      </c>
      <c r="J84" s="8">
        <v>108</v>
      </c>
      <c r="K84" s="9">
        <f t="shared" si="18"/>
        <v>100</v>
      </c>
      <c r="L84" s="32"/>
    </row>
    <row r="85" spans="1:16" s="30" customFormat="1" ht="18.75">
      <c r="A85" s="38"/>
      <c r="B85" s="10" t="s">
        <v>37</v>
      </c>
      <c r="C85" s="21" t="s">
        <v>32</v>
      </c>
      <c r="D85" s="8">
        <v>1</v>
      </c>
      <c r="E85" s="8">
        <v>1</v>
      </c>
      <c r="F85" s="8">
        <v>1</v>
      </c>
      <c r="G85" s="18">
        <f t="shared" si="19"/>
        <v>100</v>
      </c>
      <c r="H85" s="77">
        <v>27</v>
      </c>
      <c r="I85" s="77">
        <v>27</v>
      </c>
      <c r="J85" s="77">
        <v>27</v>
      </c>
      <c r="K85" s="9">
        <f t="shared" si="18"/>
        <v>100</v>
      </c>
      <c r="L85" s="153"/>
      <c r="M85" s="150"/>
      <c r="N85" s="150"/>
      <c r="O85" s="150"/>
      <c r="P85" s="150"/>
    </row>
    <row r="86" spans="1:16" s="30" customFormat="1" ht="18.75">
      <c r="A86" s="38"/>
      <c r="B86" s="10" t="s">
        <v>38</v>
      </c>
      <c r="C86" s="21" t="s">
        <v>32</v>
      </c>
      <c r="D86" s="8">
        <v>1</v>
      </c>
      <c r="E86" s="8">
        <v>1</v>
      </c>
      <c r="F86" s="8">
        <v>1</v>
      </c>
      <c r="G86" s="18">
        <f t="shared" si="19"/>
        <v>100</v>
      </c>
      <c r="H86" s="77">
        <v>27</v>
      </c>
      <c r="I86" s="77">
        <v>27</v>
      </c>
      <c r="J86" s="77">
        <v>27</v>
      </c>
      <c r="K86" s="9">
        <f t="shared" si="18"/>
        <v>100</v>
      </c>
      <c r="L86" s="153"/>
      <c r="M86" s="150"/>
      <c r="N86" s="150"/>
      <c r="O86" s="150"/>
      <c r="P86" s="150"/>
    </row>
    <row r="87" spans="1:16" s="30" customFormat="1" ht="48">
      <c r="A87" s="38"/>
      <c r="B87" s="5" t="s">
        <v>42</v>
      </c>
      <c r="C87" s="21" t="s">
        <v>32</v>
      </c>
      <c r="D87" s="8">
        <f>SUM(D88:D90)</f>
        <v>1391</v>
      </c>
      <c r="E87" s="8">
        <f t="shared" ref="E87:F87" si="32">SUM(E88:E90)</f>
        <v>1308</v>
      </c>
      <c r="F87" s="8">
        <f t="shared" si="32"/>
        <v>1308</v>
      </c>
      <c r="G87" s="18">
        <f t="shared" si="19"/>
        <v>100</v>
      </c>
      <c r="H87" s="77">
        <f>SUM(H88:H90)</f>
        <v>19976</v>
      </c>
      <c r="I87" s="77">
        <f t="shared" ref="I87:J87" si="33">SUM(I88:I90)</f>
        <v>11705</v>
      </c>
      <c r="J87" s="77">
        <f t="shared" si="33"/>
        <v>11705</v>
      </c>
      <c r="K87" s="9">
        <f t="shared" si="18"/>
        <v>100</v>
      </c>
      <c r="L87" s="32"/>
    </row>
    <row r="88" spans="1:16" s="39" customFormat="1" ht="18.75">
      <c r="A88" s="38"/>
      <c r="B88" s="10" t="s">
        <v>36</v>
      </c>
      <c r="C88" s="21" t="s">
        <v>32</v>
      </c>
      <c r="D88" s="8">
        <v>0</v>
      </c>
      <c r="E88" s="8">
        <v>0</v>
      </c>
      <c r="F88" s="8">
        <v>0</v>
      </c>
      <c r="G88" s="18" t="e">
        <f t="shared" si="19"/>
        <v>#DIV/0!</v>
      </c>
      <c r="H88" s="77">
        <v>0</v>
      </c>
      <c r="I88" s="77">
        <v>0</v>
      </c>
      <c r="J88" s="77">
        <v>0</v>
      </c>
      <c r="K88" s="9" t="e">
        <f t="shared" si="18"/>
        <v>#DIV/0!</v>
      </c>
      <c r="L88" s="31"/>
    </row>
    <row r="89" spans="1:16" s="30" customFormat="1" ht="18.75">
      <c r="A89" s="38"/>
      <c r="B89" s="10" t="s">
        <v>37</v>
      </c>
      <c r="C89" s="21" t="s">
        <v>32</v>
      </c>
      <c r="D89" s="8">
        <v>1152</v>
      </c>
      <c r="E89" s="8">
        <v>1120</v>
      </c>
      <c r="F89" s="8">
        <v>1120</v>
      </c>
      <c r="G89" s="18">
        <f t="shared" si="19"/>
        <v>100</v>
      </c>
      <c r="H89" s="80">
        <v>16666</v>
      </c>
      <c r="I89" s="80">
        <v>10027</v>
      </c>
      <c r="J89" s="80">
        <v>10027</v>
      </c>
      <c r="K89" s="9">
        <f t="shared" si="18"/>
        <v>100</v>
      </c>
      <c r="L89" s="32"/>
    </row>
    <row r="90" spans="1:16" s="30" customFormat="1" ht="18.75">
      <c r="A90" s="38"/>
      <c r="B90" s="10" t="s">
        <v>38</v>
      </c>
      <c r="C90" s="21" t="s">
        <v>32</v>
      </c>
      <c r="D90" s="8">
        <v>239</v>
      </c>
      <c r="E90" s="8">
        <v>188</v>
      </c>
      <c r="F90" s="8">
        <v>188</v>
      </c>
      <c r="G90" s="18">
        <f t="shared" si="19"/>
        <v>100</v>
      </c>
      <c r="H90" s="80">
        <v>3310</v>
      </c>
      <c r="I90" s="77">
        <v>1678</v>
      </c>
      <c r="J90" s="77">
        <v>1678</v>
      </c>
      <c r="K90" s="9">
        <f t="shared" si="18"/>
        <v>100</v>
      </c>
      <c r="L90" s="32"/>
    </row>
    <row r="91" spans="1:16" s="39" customFormat="1" ht="32.25">
      <c r="A91" s="38"/>
      <c r="B91" s="5" t="s">
        <v>44</v>
      </c>
      <c r="C91" s="21" t="s">
        <v>32</v>
      </c>
      <c r="D91" s="8">
        <f>SUM(D92:D94)</f>
        <v>1518</v>
      </c>
      <c r="E91" s="8">
        <f t="shared" ref="E91:F91" si="34">SUM(E92:E94)</f>
        <v>1478</v>
      </c>
      <c r="F91" s="8">
        <f t="shared" si="34"/>
        <v>1478</v>
      </c>
      <c r="G91" s="18">
        <f t="shared" si="19"/>
        <v>100</v>
      </c>
      <c r="H91" s="77">
        <f>SUM(H92:H94)</f>
        <v>32525</v>
      </c>
      <c r="I91" s="77">
        <f t="shared" ref="I91:J91" si="35">SUM(I92:I94)</f>
        <v>21649</v>
      </c>
      <c r="J91" s="77">
        <f t="shared" si="35"/>
        <v>21649</v>
      </c>
      <c r="K91" s="9">
        <f t="shared" si="18"/>
        <v>100</v>
      </c>
      <c r="L91" s="31"/>
    </row>
    <row r="92" spans="1:16" s="30" customFormat="1" ht="18.75">
      <c r="A92" s="38"/>
      <c r="B92" s="10" t="s">
        <v>36</v>
      </c>
      <c r="C92" s="21" t="s">
        <v>32</v>
      </c>
      <c r="D92" s="8">
        <v>1518</v>
      </c>
      <c r="E92" s="8">
        <v>1478</v>
      </c>
      <c r="F92" s="8">
        <v>1478</v>
      </c>
      <c r="G92" s="18">
        <f t="shared" si="19"/>
        <v>100</v>
      </c>
      <c r="H92" s="77">
        <v>32525</v>
      </c>
      <c r="I92" s="77">
        <v>21649</v>
      </c>
      <c r="J92" s="77">
        <v>21649</v>
      </c>
      <c r="K92" s="9">
        <f t="shared" si="18"/>
        <v>100</v>
      </c>
      <c r="L92" s="32"/>
    </row>
    <row r="93" spans="1:16" s="30" customFormat="1" ht="18.75">
      <c r="A93" s="38"/>
      <c r="B93" s="10" t="s">
        <v>37</v>
      </c>
      <c r="C93" s="21" t="s">
        <v>32</v>
      </c>
      <c r="D93" s="8">
        <v>0</v>
      </c>
      <c r="E93" s="8">
        <v>0</v>
      </c>
      <c r="F93" s="8">
        <v>0</v>
      </c>
      <c r="G93" s="18" t="e">
        <f t="shared" si="19"/>
        <v>#DIV/0!</v>
      </c>
      <c r="H93" s="80">
        <v>0</v>
      </c>
      <c r="I93" s="80">
        <v>0</v>
      </c>
      <c r="J93" s="80">
        <v>0</v>
      </c>
      <c r="K93" s="9" t="e">
        <f t="shared" si="18"/>
        <v>#DIV/0!</v>
      </c>
      <c r="L93" s="32"/>
    </row>
    <row r="94" spans="1:16" s="30" customFormat="1" ht="18.75">
      <c r="A94" s="38"/>
      <c r="B94" s="10" t="s">
        <v>38</v>
      </c>
      <c r="C94" s="21" t="s">
        <v>32</v>
      </c>
      <c r="D94" s="8">
        <v>0</v>
      </c>
      <c r="E94" s="8">
        <v>0</v>
      </c>
      <c r="F94" s="8">
        <v>0</v>
      </c>
      <c r="G94" s="18" t="e">
        <f t="shared" si="19"/>
        <v>#DIV/0!</v>
      </c>
      <c r="H94" s="77">
        <v>0</v>
      </c>
      <c r="I94" s="77">
        <v>0</v>
      </c>
      <c r="J94" s="77">
        <v>0</v>
      </c>
      <c r="K94" s="9" t="e">
        <f t="shared" si="18"/>
        <v>#DIV/0!</v>
      </c>
      <c r="L94" s="153"/>
      <c r="M94" s="150"/>
      <c r="N94" s="150"/>
      <c r="O94" s="150"/>
      <c r="P94" s="150"/>
    </row>
    <row r="95" spans="1:16" s="30" customFormat="1" ht="48">
      <c r="A95" s="38"/>
      <c r="B95" s="5" t="s">
        <v>142</v>
      </c>
      <c r="C95" s="21" t="s">
        <v>32</v>
      </c>
      <c r="D95" s="8">
        <f>SUM(D96:D98)</f>
        <v>72</v>
      </c>
      <c r="E95" s="8">
        <f t="shared" ref="E95:F95" si="36">SUM(E96:E98)</f>
        <v>59</v>
      </c>
      <c r="F95" s="8">
        <f t="shared" si="36"/>
        <v>59</v>
      </c>
      <c r="G95" s="18">
        <f t="shared" si="19"/>
        <v>100</v>
      </c>
      <c r="H95" s="77">
        <f>SUM(H96:H98)</f>
        <v>2110</v>
      </c>
      <c r="I95" s="77">
        <f t="shared" ref="I95:J95" si="37">SUM(I96:I98)</f>
        <v>973</v>
      </c>
      <c r="J95" s="77">
        <f t="shared" si="37"/>
        <v>973</v>
      </c>
      <c r="K95" s="9">
        <f t="shared" si="18"/>
        <v>100</v>
      </c>
      <c r="L95" s="153"/>
      <c r="M95" s="150"/>
      <c r="N95" s="150"/>
      <c r="O95" s="150"/>
      <c r="P95" s="150"/>
    </row>
    <row r="96" spans="1:16" s="30" customFormat="1" ht="18.75">
      <c r="A96" s="38"/>
      <c r="B96" s="10" t="s">
        <v>36</v>
      </c>
      <c r="C96" s="21" t="s">
        <v>32</v>
      </c>
      <c r="D96" s="8">
        <v>0</v>
      </c>
      <c r="E96" s="8">
        <v>0</v>
      </c>
      <c r="F96" s="8">
        <v>0</v>
      </c>
      <c r="G96" s="18" t="e">
        <f t="shared" si="19"/>
        <v>#DIV/0!</v>
      </c>
      <c r="H96" s="77">
        <v>0</v>
      </c>
      <c r="I96" s="77">
        <v>0</v>
      </c>
      <c r="J96" s="77">
        <v>0</v>
      </c>
      <c r="K96" s="9" t="e">
        <f t="shared" si="18"/>
        <v>#DIV/0!</v>
      </c>
      <c r="L96" s="32"/>
    </row>
    <row r="97" spans="1:12" s="39" customFormat="1" ht="18.75">
      <c r="A97" s="38"/>
      <c r="B97" s="10" t="s">
        <v>37</v>
      </c>
      <c r="C97" s="21" t="s">
        <v>32</v>
      </c>
      <c r="D97" s="8">
        <v>65</v>
      </c>
      <c r="E97" s="8">
        <v>53</v>
      </c>
      <c r="F97" s="8">
        <v>53</v>
      </c>
      <c r="G97" s="18">
        <f t="shared" si="19"/>
        <v>100</v>
      </c>
      <c r="H97" s="77">
        <v>1905</v>
      </c>
      <c r="I97" s="77">
        <v>874</v>
      </c>
      <c r="J97" s="77">
        <v>874</v>
      </c>
      <c r="K97" s="9">
        <f t="shared" si="18"/>
        <v>100</v>
      </c>
      <c r="L97" s="31"/>
    </row>
    <row r="98" spans="1:12" s="30" customFormat="1" ht="18.75">
      <c r="A98" s="38"/>
      <c r="B98" s="10" t="s">
        <v>38</v>
      </c>
      <c r="C98" s="21" t="s">
        <v>32</v>
      </c>
      <c r="D98" s="8">
        <v>7</v>
      </c>
      <c r="E98" s="8">
        <v>6</v>
      </c>
      <c r="F98" s="8">
        <v>6</v>
      </c>
      <c r="G98" s="18">
        <f t="shared" si="19"/>
        <v>100</v>
      </c>
      <c r="H98" s="77">
        <v>205</v>
      </c>
      <c r="I98" s="77">
        <v>99</v>
      </c>
      <c r="J98" s="77">
        <v>99</v>
      </c>
      <c r="K98" s="9">
        <f t="shared" si="18"/>
        <v>100</v>
      </c>
      <c r="L98" s="32"/>
    </row>
    <row r="99" spans="1:12" s="39" customFormat="1" ht="18.75">
      <c r="A99" s="40"/>
      <c r="B99" s="23" t="s">
        <v>13</v>
      </c>
      <c r="C99" s="24" t="s">
        <v>45</v>
      </c>
      <c r="D99" s="28">
        <f>D100</f>
        <v>0</v>
      </c>
      <c r="E99" s="28">
        <f t="shared" ref="E99:F99" si="38">E100</f>
        <v>1725</v>
      </c>
      <c r="F99" s="28">
        <f t="shared" si="38"/>
        <v>1725</v>
      </c>
      <c r="G99" s="59">
        <f t="shared" si="19"/>
        <v>100</v>
      </c>
      <c r="H99" s="69">
        <f>SUM(H100)</f>
        <v>0</v>
      </c>
      <c r="I99" s="69">
        <f>SUM(I100)</f>
        <v>4076</v>
      </c>
      <c r="J99" s="69">
        <f>SUM(J100)</f>
        <v>4076</v>
      </c>
      <c r="K99" s="59">
        <f t="shared" si="18"/>
        <v>100</v>
      </c>
      <c r="L99" s="31"/>
    </row>
    <row r="100" spans="1:12" s="41" customFormat="1" ht="19.5">
      <c r="A100" s="38"/>
      <c r="B100" s="5" t="s">
        <v>82</v>
      </c>
      <c r="C100" s="21" t="s">
        <v>45</v>
      </c>
      <c r="D100" s="8">
        <v>0</v>
      </c>
      <c r="E100" s="8">
        <v>1725</v>
      </c>
      <c r="F100" s="8">
        <v>1725</v>
      </c>
      <c r="G100" s="18">
        <f t="shared" si="19"/>
        <v>100</v>
      </c>
      <c r="H100" s="77">
        <v>0</v>
      </c>
      <c r="I100" s="77">
        <f>1797+2279</f>
        <v>4076</v>
      </c>
      <c r="J100" s="77">
        <f>1797+2279</f>
        <v>4076</v>
      </c>
      <c r="K100" s="9">
        <f t="shared" si="18"/>
        <v>100</v>
      </c>
      <c r="L100" s="154"/>
    </row>
    <row r="101" spans="1:12" s="39" customFormat="1" ht="18.75">
      <c r="A101" s="40"/>
      <c r="B101" s="23" t="s">
        <v>46</v>
      </c>
      <c r="C101" s="24" t="s">
        <v>3</v>
      </c>
      <c r="D101" s="28">
        <f>D102</f>
        <v>5283</v>
      </c>
      <c r="E101" s="28">
        <f t="shared" ref="E101:F101" si="39">E102</f>
        <v>5283</v>
      </c>
      <c r="F101" s="28">
        <f t="shared" si="39"/>
        <v>5283</v>
      </c>
      <c r="G101" s="59">
        <f t="shared" si="19"/>
        <v>100</v>
      </c>
      <c r="H101" s="28">
        <f>H102</f>
        <v>9281</v>
      </c>
      <c r="I101" s="28">
        <f>I102</f>
        <v>9747</v>
      </c>
      <c r="J101" s="28">
        <f>J102</f>
        <v>9747</v>
      </c>
      <c r="K101" s="64">
        <f t="shared" si="18"/>
        <v>100</v>
      </c>
      <c r="L101" s="31"/>
    </row>
    <row r="102" spans="1:12" s="41" customFormat="1" ht="19.5">
      <c r="A102" s="38"/>
      <c r="B102" s="5" t="s">
        <v>47</v>
      </c>
      <c r="C102" s="21" t="s">
        <v>3</v>
      </c>
      <c r="D102" s="8">
        <v>5283</v>
      </c>
      <c r="E102" s="8">
        <v>5283</v>
      </c>
      <c r="F102" s="8">
        <v>5283</v>
      </c>
      <c r="G102" s="18">
        <f t="shared" si="19"/>
        <v>100</v>
      </c>
      <c r="H102" s="80">
        <v>9281</v>
      </c>
      <c r="I102" s="80">
        <v>9747</v>
      </c>
      <c r="J102" s="80">
        <v>9747</v>
      </c>
      <c r="K102" s="9">
        <f t="shared" si="18"/>
        <v>100</v>
      </c>
      <c r="L102" s="154"/>
    </row>
    <row r="103" spans="1:12" s="39" customFormat="1" ht="18.75">
      <c r="A103" s="84" t="s">
        <v>39</v>
      </c>
      <c r="B103" s="72" t="s">
        <v>120</v>
      </c>
      <c r="C103" s="66"/>
      <c r="D103" s="81">
        <f>D104+D108</f>
        <v>5342</v>
      </c>
      <c r="E103" s="81">
        <f>E104+E108</f>
        <v>5114</v>
      </c>
      <c r="F103" s="81">
        <f>F104+F108</f>
        <v>5100</v>
      </c>
      <c r="G103" s="155">
        <f t="shared" si="19"/>
        <v>99.726241689479849</v>
      </c>
      <c r="H103" s="81">
        <f>H104+H108</f>
        <v>678508</v>
      </c>
      <c r="I103" s="81">
        <f t="shared" ref="I103:J103" si="40">I104+I108</f>
        <v>704034</v>
      </c>
      <c r="J103" s="81">
        <f t="shared" si="40"/>
        <v>704034</v>
      </c>
      <c r="K103" s="67">
        <f t="shared" si="18"/>
        <v>100</v>
      </c>
      <c r="L103" s="31"/>
    </row>
    <row r="104" spans="1:12" s="39" customFormat="1" ht="18.75">
      <c r="A104" s="22"/>
      <c r="B104" s="23" t="s">
        <v>49</v>
      </c>
      <c r="C104" s="24" t="s">
        <v>50</v>
      </c>
      <c r="D104" s="28">
        <f>D105+D106+D107</f>
        <v>2671</v>
      </c>
      <c r="E104" s="28">
        <f t="shared" ref="E104:F104" si="41">E105+E106+E107</f>
        <v>2557</v>
      </c>
      <c r="F104" s="28">
        <f t="shared" si="41"/>
        <v>2550</v>
      </c>
      <c r="G104" s="59">
        <f t="shared" si="19"/>
        <v>99.726241689479849</v>
      </c>
      <c r="H104" s="28">
        <f>H105+H106+H107</f>
        <v>5125</v>
      </c>
      <c r="I104" s="28">
        <f t="shared" ref="I104:J104" si="42">I105+I106+I107</f>
        <v>5497</v>
      </c>
      <c r="J104" s="28">
        <f t="shared" si="42"/>
        <v>5497</v>
      </c>
      <c r="K104" s="64">
        <f t="shared" si="18"/>
        <v>100</v>
      </c>
      <c r="L104" s="31"/>
    </row>
    <row r="105" spans="1:12" s="39" customFormat="1" ht="18.75">
      <c r="A105" s="4"/>
      <c r="B105" s="5" t="s">
        <v>51</v>
      </c>
      <c r="C105" s="21" t="s">
        <v>50</v>
      </c>
      <c r="D105" s="8">
        <v>2627</v>
      </c>
      <c r="E105" s="8">
        <v>2503</v>
      </c>
      <c r="F105" s="8">
        <v>2494</v>
      </c>
      <c r="G105" s="18">
        <f t="shared" si="19"/>
        <v>99.640431482221331</v>
      </c>
      <c r="H105" s="80">
        <f>3752.7+0.3</f>
        <v>3753</v>
      </c>
      <c r="I105" s="77">
        <v>3735</v>
      </c>
      <c r="J105" s="77">
        <f>I105</f>
        <v>3735</v>
      </c>
      <c r="K105" s="9">
        <f t="shared" si="18"/>
        <v>100</v>
      </c>
      <c r="L105" s="31"/>
    </row>
    <row r="106" spans="1:12" s="39" customFormat="1" ht="18.75">
      <c r="A106" s="4"/>
      <c r="B106" s="5" t="s">
        <v>52</v>
      </c>
      <c r="C106" s="21" t="s">
        <v>50</v>
      </c>
      <c r="D106" s="8">
        <v>26</v>
      </c>
      <c r="E106" s="8">
        <v>35</v>
      </c>
      <c r="F106" s="8">
        <v>36</v>
      </c>
      <c r="G106" s="18">
        <f t="shared" si="19"/>
        <v>102.85714285714285</v>
      </c>
      <c r="H106" s="80">
        <f>810.8+0.2</f>
        <v>811</v>
      </c>
      <c r="I106" s="77">
        <v>1142</v>
      </c>
      <c r="J106" s="77">
        <v>1142</v>
      </c>
      <c r="K106" s="9">
        <f>J106/I106*100</f>
        <v>100</v>
      </c>
      <c r="L106" s="31"/>
    </row>
    <row r="107" spans="1:12" s="30" customFormat="1" ht="18.75">
      <c r="A107" s="4"/>
      <c r="B107" s="5" t="s">
        <v>53</v>
      </c>
      <c r="C107" s="21" t="s">
        <v>50</v>
      </c>
      <c r="D107" s="77">
        <v>18</v>
      </c>
      <c r="E107" s="8">
        <v>19</v>
      </c>
      <c r="F107" s="8">
        <v>20</v>
      </c>
      <c r="G107" s="18">
        <f>F107/E107*100</f>
        <v>105.26315789473684</v>
      </c>
      <c r="H107" s="77">
        <f>561.3-0.3</f>
        <v>561</v>
      </c>
      <c r="I107" s="77">
        <v>620</v>
      </c>
      <c r="J107" s="77">
        <v>620</v>
      </c>
      <c r="K107" s="9">
        <f>J107/I107*100</f>
        <v>100</v>
      </c>
      <c r="L107" s="32"/>
    </row>
    <row r="108" spans="1:12" s="30" customFormat="1" ht="18.75">
      <c r="A108" s="22"/>
      <c r="B108" s="23" t="s">
        <v>55</v>
      </c>
      <c r="C108" s="24" t="s">
        <v>32</v>
      </c>
      <c r="D108" s="69">
        <f>D109+D110+D111</f>
        <v>2671</v>
      </c>
      <c r="E108" s="69">
        <f t="shared" ref="E108:F108" si="43">E109+E110+E111</f>
        <v>2557</v>
      </c>
      <c r="F108" s="69">
        <f t="shared" si="43"/>
        <v>2550</v>
      </c>
      <c r="G108" s="59">
        <f>F108/E108*100</f>
        <v>99.726241689479849</v>
      </c>
      <c r="H108" s="69">
        <f>H109+H110+H111</f>
        <v>673383</v>
      </c>
      <c r="I108" s="69">
        <f t="shared" ref="I108:J108" si="44">I109+I110+I111</f>
        <v>698537</v>
      </c>
      <c r="J108" s="69">
        <f t="shared" si="44"/>
        <v>698537</v>
      </c>
      <c r="K108" s="64">
        <f>J108/I108*100</f>
        <v>100</v>
      </c>
      <c r="L108" s="32"/>
    </row>
    <row r="109" spans="1:12" s="30" customFormat="1" ht="18.75">
      <c r="A109" s="4"/>
      <c r="B109" s="5" t="s">
        <v>57</v>
      </c>
      <c r="C109" s="21" t="s">
        <v>32</v>
      </c>
      <c r="D109" s="77">
        <v>465</v>
      </c>
      <c r="E109" s="8">
        <v>421</v>
      </c>
      <c r="F109" s="8">
        <v>428</v>
      </c>
      <c r="G109" s="18">
        <f t="shared" ref="G109:G123" si="45">F109/E109*100</f>
        <v>101.66270783847982</v>
      </c>
      <c r="H109" s="77">
        <f>112962.3-0.3</f>
        <v>112962</v>
      </c>
      <c r="I109" s="77">
        <f>109888.1-0.1</f>
        <v>109888</v>
      </c>
      <c r="J109" s="77">
        <f>I109</f>
        <v>109888</v>
      </c>
      <c r="K109" s="9">
        <f t="shared" ref="K109:K123" si="46">J109/I109*100</f>
        <v>100</v>
      </c>
      <c r="L109" s="32"/>
    </row>
    <row r="110" spans="1:12" s="30" customFormat="1" ht="18.75">
      <c r="A110" s="4"/>
      <c r="B110" s="5" t="s">
        <v>59</v>
      </c>
      <c r="C110" s="21" t="s">
        <v>32</v>
      </c>
      <c r="D110" s="77">
        <v>1928</v>
      </c>
      <c r="E110" s="8">
        <v>1860</v>
      </c>
      <c r="F110" s="8">
        <v>1847</v>
      </c>
      <c r="G110" s="18">
        <f t="shared" si="45"/>
        <v>99.3010752688172</v>
      </c>
      <c r="H110" s="77">
        <f>410365.3-0.3</f>
        <v>410365</v>
      </c>
      <c r="I110" s="77">
        <f>424853.2-0.2</f>
        <v>424853</v>
      </c>
      <c r="J110" s="77">
        <f>424853.2-0.2</f>
        <v>424853</v>
      </c>
      <c r="K110" s="9">
        <f t="shared" si="46"/>
        <v>100</v>
      </c>
      <c r="L110" s="32"/>
    </row>
    <row r="111" spans="1:12" s="32" customFormat="1" ht="31.5">
      <c r="A111" s="4"/>
      <c r="B111" s="5" t="s">
        <v>60</v>
      </c>
      <c r="C111" s="21" t="s">
        <v>32</v>
      </c>
      <c r="D111" s="6">
        <v>278</v>
      </c>
      <c r="E111" s="8">
        <v>276</v>
      </c>
      <c r="F111" s="8">
        <v>275</v>
      </c>
      <c r="G111" s="18">
        <f t="shared" si="45"/>
        <v>99.637681159420282</v>
      </c>
      <c r="H111" s="77">
        <f>150055.8+0.2</f>
        <v>150056</v>
      </c>
      <c r="I111" s="77">
        <f>163795.9+0.1</f>
        <v>163796</v>
      </c>
      <c r="J111" s="77">
        <f>I111</f>
        <v>163796</v>
      </c>
      <c r="K111" s="9">
        <f t="shared" si="46"/>
        <v>100</v>
      </c>
    </row>
    <row r="112" spans="1:12" s="32" customFormat="1" ht="18.75">
      <c r="A112" s="68" t="s">
        <v>41</v>
      </c>
      <c r="B112" s="71" t="s">
        <v>61</v>
      </c>
      <c r="C112" s="3"/>
      <c r="D112" s="69">
        <f>SUM(D113:D117)</f>
        <v>424</v>
      </c>
      <c r="E112" s="69">
        <f>SUM(E113:E117)</f>
        <v>544</v>
      </c>
      <c r="F112" s="69">
        <f>SUM(F113:F117)</f>
        <v>544</v>
      </c>
      <c r="G112" s="60">
        <f t="shared" si="45"/>
        <v>100</v>
      </c>
      <c r="H112" s="69">
        <f>SUM(H113:H117)</f>
        <v>31058</v>
      </c>
      <c r="I112" s="69">
        <f>SUM(I113:I117)</f>
        <v>36299</v>
      </c>
      <c r="J112" s="69">
        <f>SUM(J113:J117)</f>
        <v>36299</v>
      </c>
      <c r="K112" s="9">
        <f t="shared" si="46"/>
        <v>100</v>
      </c>
    </row>
    <row r="113" spans="1:12" s="32" customFormat="1" ht="15.75">
      <c r="A113" s="16"/>
      <c r="B113" s="1" t="s">
        <v>131</v>
      </c>
      <c r="C113" s="7" t="s">
        <v>128</v>
      </c>
      <c r="D113" s="74">
        <v>0</v>
      </c>
      <c r="E113" s="74">
        <v>120</v>
      </c>
      <c r="F113" s="74">
        <v>120</v>
      </c>
      <c r="G113" s="2">
        <f t="shared" si="45"/>
        <v>100</v>
      </c>
      <c r="H113" s="74">
        <v>0</v>
      </c>
      <c r="I113" s="74">
        <f>179.9+0.1</f>
        <v>180</v>
      </c>
      <c r="J113" s="74">
        <f>I113</f>
        <v>180</v>
      </c>
      <c r="K113" s="14">
        <f t="shared" si="46"/>
        <v>100</v>
      </c>
    </row>
    <row r="114" spans="1:12" s="32" customFormat="1" ht="31.5">
      <c r="A114" s="16"/>
      <c r="B114" s="1" t="s">
        <v>63</v>
      </c>
      <c r="C114" s="7" t="s">
        <v>64</v>
      </c>
      <c r="D114" s="74">
        <v>96</v>
      </c>
      <c r="E114" s="74">
        <v>96</v>
      </c>
      <c r="F114" s="74">
        <v>96</v>
      </c>
      <c r="G114" s="2">
        <f t="shared" si="45"/>
        <v>100</v>
      </c>
      <c r="H114" s="74">
        <v>11534</v>
      </c>
      <c r="I114" s="74">
        <f>12679.7+0.3</f>
        <v>12680</v>
      </c>
      <c r="J114" s="74">
        <f>I114</f>
        <v>12680</v>
      </c>
      <c r="K114" s="14">
        <f t="shared" si="46"/>
        <v>100</v>
      </c>
    </row>
    <row r="115" spans="1:12" s="32" customFormat="1" ht="63">
      <c r="A115" s="16"/>
      <c r="B115" s="11" t="s">
        <v>65</v>
      </c>
      <c r="C115" s="13" t="s">
        <v>66</v>
      </c>
      <c r="D115" s="74">
        <v>324</v>
      </c>
      <c r="E115" s="74">
        <v>324</v>
      </c>
      <c r="F115" s="74">
        <v>324</v>
      </c>
      <c r="G115" s="2">
        <f t="shared" si="45"/>
        <v>100</v>
      </c>
      <c r="H115" s="74">
        <v>17702</v>
      </c>
      <c r="I115" s="74">
        <f>21569.3-0.3</f>
        <v>21569</v>
      </c>
      <c r="J115" s="74">
        <f t="shared" ref="J115:J117" si="47">I115</f>
        <v>21569</v>
      </c>
      <c r="K115" s="14">
        <f t="shared" si="46"/>
        <v>100</v>
      </c>
    </row>
    <row r="116" spans="1:12" s="32" customFormat="1" ht="47.25">
      <c r="A116" s="16"/>
      <c r="B116" s="11" t="s">
        <v>98</v>
      </c>
      <c r="C116" s="7" t="s">
        <v>67</v>
      </c>
      <c r="D116" s="74">
        <v>2</v>
      </c>
      <c r="E116" s="74">
        <v>2</v>
      </c>
      <c r="F116" s="74">
        <v>2</v>
      </c>
      <c r="G116" s="2">
        <f t="shared" si="45"/>
        <v>100</v>
      </c>
      <c r="H116" s="74">
        <v>1040</v>
      </c>
      <c r="I116" s="74">
        <f>1063.4+0.6</f>
        <v>1064</v>
      </c>
      <c r="J116" s="74">
        <f t="shared" si="47"/>
        <v>1064</v>
      </c>
      <c r="K116" s="14">
        <f t="shared" si="46"/>
        <v>100</v>
      </c>
    </row>
    <row r="117" spans="1:12" s="32" customFormat="1" ht="63">
      <c r="A117" s="16"/>
      <c r="B117" s="11" t="s">
        <v>68</v>
      </c>
      <c r="C117" s="7" t="s">
        <v>67</v>
      </c>
      <c r="D117" s="74">
        <v>2</v>
      </c>
      <c r="E117" s="74">
        <v>2</v>
      </c>
      <c r="F117" s="74">
        <v>2</v>
      </c>
      <c r="G117" s="2">
        <f t="shared" si="45"/>
        <v>100</v>
      </c>
      <c r="H117" s="74">
        <v>782</v>
      </c>
      <c r="I117" s="74">
        <f>806.2-0.2</f>
        <v>806</v>
      </c>
      <c r="J117" s="74">
        <f t="shared" si="47"/>
        <v>806</v>
      </c>
      <c r="K117" s="14">
        <f t="shared" si="46"/>
        <v>100</v>
      </c>
    </row>
    <row r="118" spans="1:12" s="32" customFormat="1" ht="18.75">
      <c r="A118" s="68" t="s">
        <v>43</v>
      </c>
      <c r="B118" s="71" t="s">
        <v>69</v>
      </c>
      <c r="C118" s="25"/>
      <c r="D118" s="69">
        <f>SUM(D119:D123)</f>
        <v>626</v>
      </c>
      <c r="E118" s="69">
        <f>SUM(E119:E123)</f>
        <v>494</v>
      </c>
      <c r="F118" s="69">
        <f>SUM(F119:F123)</f>
        <v>494</v>
      </c>
      <c r="G118" s="59">
        <f t="shared" si="45"/>
        <v>100</v>
      </c>
      <c r="H118" s="69">
        <f>SUM(H119:H123)</f>
        <v>30566</v>
      </c>
      <c r="I118" s="69">
        <f>SUM(I119:I123)</f>
        <v>26310</v>
      </c>
      <c r="J118" s="69">
        <f>SUM(J119:J123)</f>
        <v>26310</v>
      </c>
      <c r="K118" s="64">
        <f t="shared" si="46"/>
        <v>100</v>
      </c>
      <c r="L118" s="156"/>
    </row>
    <row r="119" spans="1:12" s="32" customFormat="1" ht="15.75">
      <c r="A119" s="16"/>
      <c r="B119" s="1" t="s">
        <v>62</v>
      </c>
      <c r="C119" s="13" t="s">
        <v>4</v>
      </c>
      <c r="D119" s="3">
        <v>326</v>
      </c>
      <c r="E119" s="15">
        <v>201</v>
      </c>
      <c r="F119" s="15">
        <v>201</v>
      </c>
      <c r="G119" s="2">
        <f t="shared" si="45"/>
        <v>100</v>
      </c>
      <c r="H119" s="54">
        <v>14293</v>
      </c>
      <c r="I119" s="54">
        <f>9775+1</f>
        <v>9776</v>
      </c>
      <c r="J119" s="54">
        <f>9775+1</f>
        <v>9776</v>
      </c>
      <c r="K119" s="14">
        <f t="shared" si="46"/>
        <v>100</v>
      </c>
    </row>
    <row r="120" spans="1:12" s="32" customFormat="1" ht="31.5">
      <c r="A120" s="16"/>
      <c r="B120" s="1" t="s">
        <v>70</v>
      </c>
      <c r="C120" s="7" t="s">
        <v>67</v>
      </c>
      <c r="D120" s="3">
        <v>4</v>
      </c>
      <c r="E120" s="3">
        <v>4</v>
      </c>
      <c r="F120" s="3">
        <v>4</v>
      </c>
      <c r="G120" s="2">
        <f t="shared" si="45"/>
        <v>100</v>
      </c>
      <c r="H120" s="54">
        <v>1781</v>
      </c>
      <c r="I120" s="54">
        <v>1793</v>
      </c>
      <c r="J120" s="54">
        <v>1793</v>
      </c>
      <c r="K120" s="14">
        <f t="shared" si="46"/>
        <v>100</v>
      </c>
    </row>
    <row r="121" spans="1:12" s="32" customFormat="1" ht="31.5">
      <c r="A121" s="16"/>
      <c r="B121" s="12" t="s">
        <v>71</v>
      </c>
      <c r="C121" s="157" t="s">
        <v>104</v>
      </c>
      <c r="D121" s="74">
        <v>9</v>
      </c>
      <c r="E121" s="74">
        <v>9</v>
      </c>
      <c r="F121" s="74">
        <v>9</v>
      </c>
      <c r="G121" s="2">
        <f t="shared" si="45"/>
        <v>100</v>
      </c>
      <c r="H121" s="54">
        <v>3666</v>
      </c>
      <c r="I121" s="54">
        <v>3839</v>
      </c>
      <c r="J121" s="54">
        <v>3839</v>
      </c>
      <c r="K121" s="14">
        <f t="shared" si="46"/>
        <v>100</v>
      </c>
    </row>
    <row r="122" spans="1:12" s="32" customFormat="1" ht="47.25">
      <c r="A122" s="16"/>
      <c r="B122" s="12" t="s">
        <v>72</v>
      </c>
      <c r="C122" s="157" t="s">
        <v>64</v>
      </c>
      <c r="D122" s="74">
        <v>200</v>
      </c>
      <c r="E122" s="74">
        <v>200</v>
      </c>
      <c r="F122" s="74">
        <v>200</v>
      </c>
      <c r="G122" s="2">
        <f t="shared" si="45"/>
        <v>100</v>
      </c>
      <c r="H122" s="54">
        <v>4477</v>
      </c>
      <c r="I122" s="54">
        <v>4508</v>
      </c>
      <c r="J122" s="54">
        <v>4508</v>
      </c>
      <c r="K122" s="14">
        <f t="shared" si="46"/>
        <v>100</v>
      </c>
    </row>
    <row r="123" spans="1:12" s="32" customFormat="1" ht="31.5">
      <c r="A123" s="16"/>
      <c r="B123" s="12" t="s">
        <v>73</v>
      </c>
      <c r="C123" s="157" t="s">
        <v>74</v>
      </c>
      <c r="D123" s="74">
        <v>87</v>
      </c>
      <c r="E123" s="74">
        <v>80</v>
      </c>
      <c r="F123" s="74">
        <v>80</v>
      </c>
      <c r="G123" s="2">
        <f t="shared" si="45"/>
        <v>100</v>
      </c>
      <c r="H123" s="54">
        <v>6349</v>
      </c>
      <c r="I123" s="54">
        <v>6394</v>
      </c>
      <c r="J123" s="54">
        <v>6394</v>
      </c>
      <c r="K123" s="14">
        <f t="shared" si="46"/>
        <v>100</v>
      </c>
    </row>
    <row r="124" spans="1:12" s="32" customFormat="1" ht="9.75" customHeight="1">
      <c r="A124" s="16"/>
      <c r="B124" s="12"/>
      <c r="C124" s="157"/>
      <c r="D124" s="74"/>
      <c r="E124" s="74"/>
      <c r="F124" s="74"/>
      <c r="G124" s="2"/>
      <c r="H124" s="54"/>
      <c r="I124" s="54"/>
      <c r="J124" s="54"/>
      <c r="K124" s="14"/>
    </row>
    <row r="125" spans="1:12" s="31" customFormat="1" ht="15.75">
      <c r="A125" s="37"/>
      <c r="B125" s="23" t="s">
        <v>143</v>
      </c>
      <c r="C125" s="59" t="s">
        <v>128</v>
      </c>
      <c r="D125" s="28">
        <v>120</v>
      </c>
      <c r="E125" s="28">
        <f>210+515</f>
        <v>725</v>
      </c>
      <c r="F125" s="28">
        <f>210+515</f>
        <v>725</v>
      </c>
      <c r="G125" s="59">
        <v>100</v>
      </c>
      <c r="H125" s="61">
        <f>326+639</f>
        <v>965</v>
      </c>
      <c r="I125" s="61">
        <f>710+1651</f>
        <v>2361</v>
      </c>
      <c r="J125" s="61">
        <f>710+1651</f>
        <v>2361</v>
      </c>
      <c r="K125" s="64">
        <v>100</v>
      </c>
    </row>
    <row r="126" spans="1:12" s="32" customFormat="1" ht="37.5">
      <c r="A126" s="158"/>
      <c r="B126" s="111" t="s">
        <v>113</v>
      </c>
      <c r="C126" s="159"/>
      <c r="D126" s="77"/>
      <c r="E126" s="160"/>
      <c r="F126" s="160"/>
      <c r="G126" s="18"/>
      <c r="H126" s="52">
        <f>639+18650+803-2587</f>
        <v>17505</v>
      </c>
      <c r="I126" s="52">
        <f>20289+65</f>
        <v>20354</v>
      </c>
      <c r="J126" s="52"/>
      <c r="K126" s="14"/>
    </row>
    <row r="127" spans="1:12" s="88" customFormat="1" ht="23.25" customHeight="1">
      <c r="A127" s="161"/>
      <c r="B127" s="162" t="s">
        <v>121</v>
      </c>
      <c r="C127" s="163"/>
      <c r="D127" s="164">
        <f>ROUND(D7+D24+D54+D58,0)</f>
        <v>332154</v>
      </c>
      <c r="E127" s="164">
        <f>ROUND(E7+E24+E54+E58,0)</f>
        <v>332514</v>
      </c>
      <c r="F127" s="164">
        <f>ROUND(F7+F24+F54+F58,0)</f>
        <v>335120</v>
      </c>
      <c r="G127" s="165">
        <f>F127/E127*100</f>
        <v>100.78372639948994</v>
      </c>
      <c r="H127" s="166">
        <f>ROUND(H7+H24+H54+H58,0)</f>
        <v>1970637</v>
      </c>
      <c r="I127" s="166">
        <f>ROUND(I7+I24+I54+I58,0)</f>
        <v>1967907</v>
      </c>
      <c r="J127" s="166">
        <f>ROUND(J7+J24+J54+J58,0)</f>
        <v>1935466</v>
      </c>
      <c r="K127" s="165">
        <f>J127/I127*100</f>
        <v>98.351497301447679</v>
      </c>
    </row>
    <row r="128" spans="1:12">
      <c r="A128" s="167"/>
      <c r="B128" s="168"/>
      <c r="E128" s="32"/>
      <c r="F128" s="32"/>
      <c r="G128" s="167"/>
      <c r="H128" s="171"/>
      <c r="I128" s="171"/>
      <c r="J128" s="171"/>
      <c r="K128" s="32"/>
      <c r="L128" s="32"/>
    </row>
    <row r="129" spans="4:12">
      <c r="D129" s="174"/>
      <c r="E129" s="175"/>
      <c r="F129" s="175"/>
      <c r="H129" s="176"/>
      <c r="I129" s="176"/>
      <c r="J129" s="176"/>
    </row>
    <row r="130" spans="4:12">
      <c r="D130" s="177"/>
      <c r="E130" s="177"/>
      <c r="F130" s="177"/>
      <c r="G130" s="177"/>
      <c r="H130" s="177"/>
      <c r="I130" s="177"/>
      <c r="J130" s="177"/>
      <c r="K130" s="177"/>
      <c r="L130" s="177"/>
    </row>
    <row r="131" spans="4:12">
      <c r="D131" s="178"/>
      <c r="E131" s="179"/>
      <c r="F131" s="180"/>
      <c r="H131" s="176"/>
      <c r="I131" s="176"/>
      <c r="J131" s="176"/>
    </row>
    <row r="132" spans="4:12">
      <c r="D132" s="181"/>
      <c r="E132" s="181"/>
      <c r="F132" s="181"/>
      <c r="G132" s="181"/>
      <c r="H132" s="181"/>
      <c r="I132" s="181"/>
      <c r="J132" s="181"/>
      <c r="K132" s="181"/>
    </row>
    <row r="139" spans="4:12">
      <c r="H139" s="182"/>
      <c r="I139" s="182"/>
      <c r="J139" s="182"/>
      <c r="K139" s="182"/>
    </row>
    <row r="140" spans="4:12">
      <c r="H140" s="182"/>
      <c r="I140" s="182"/>
      <c r="J140" s="182"/>
      <c r="K140" s="182"/>
    </row>
    <row r="141" spans="4:12">
      <c r="H141" s="183"/>
      <c r="I141" s="183"/>
      <c r="J141" s="183"/>
    </row>
  </sheetData>
  <mergeCells count="5">
    <mergeCell ref="A1:K2"/>
    <mergeCell ref="A4:A5"/>
    <mergeCell ref="B4:B5"/>
    <mergeCell ref="C4:G4"/>
    <mergeCell ref="H4:K4"/>
  </mergeCells>
  <pageMargins left="0.19685039370078741" right="0.19685039370078741" top="0.19685039370078741" bottom="0.19685039370078741" header="0.31496062992125984" footer="0.31496062992125984"/>
  <pageSetup paperSize="9" scale="5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 </vt:lpstr>
      <vt:lpstr>'2021 год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Зорина</cp:lastModifiedBy>
  <cp:lastPrinted>2022-04-03T11:31:08Z</cp:lastPrinted>
  <dcterms:created xsi:type="dcterms:W3CDTF">2016-11-01T06:46:25Z</dcterms:created>
  <dcterms:modified xsi:type="dcterms:W3CDTF">2022-04-03T11:31:11Z</dcterms:modified>
</cp:coreProperties>
</file>