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_FilterDatabase" localSheetId="0" hidden="1">'таблица 2'!$A$8:$J$197</definedName>
    <definedName name="_xlnm.Print_Titles" localSheetId="0">'таблица 2'!$5:$8</definedName>
  </definedNames>
  <calcPr calcId="125725"/>
</workbook>
</file>

<file path=xl/calcChain.xml><?xml version="1.0" encoding="utf-8"?>
<calcChain xmlns="http://schemas.openxmlformats.org/spreadsheetml/2006/main">
  <c r="F190" i="51"/>
  <c r="G190"/>
  <c r="E190"/>
  <c r="B193"/>
  <c r="E193"/>
  <c r="E194"/>
  <c r="D118"/>
  <c r="F118"/>
  <c r="G118"/>
  <c r="D115"/>
  <c r="F115"/>
  <c r="G115"/>
  <c r="D113"/>
  <c r="F113"/>
  <c r="G113"/>
  <c r="D111"/>
  <c r="F111"/>
  <c r="G111"/>
  <c r="D109"/>
  <c r="F109"/>
  <c r="E109"/>
  <c r="G109"/>
  <c r="D105"/>
  <c r="F105"/>
  <c r="G105"/>
  <c r="D88"/>
  <c r="F88"/>
  <c r="G88"/>
  <c r="D83"/>
  <c r="F83"/>
  <c r="G83"/>
  <c r="D80"/>
  <c r="F80"/>
  <c r="G80"/>
  <c r="D62"/>
  <c r="F62"/>
  <c r="G62"/>
  <c r="D30"/>
  <c r="F30"/>
  <c r="G30"/>
  <c r="D26"/>
  <c r="F26"/>
  <c r="G26"/>
  <c r="D23"/>
  <c r="F23"/>
  <c r="G23"/>
  <c r="D18"/>
  <c r="F18"/>
  <c r="G18"/>
  <c r="D14"/>
  <c r="F14"/>
  <c r="G14"/>
  <c r="D12"/>
  <c r="F12"/>
  <c r="G12"/>
  <c r="D10"/>
  <c r="F10"/>
  <c r="E108"/>
  <c r="B105"/>
  <c r="B107"/>
  <c r="E107" s="1"/>
  <c r="E91"/>
  <c r="E97"/>
  <c r="E98"/>
  <c r="E99"/>
  <c r="E100"/>
  <c r="E102"/>
  <c r="E103"/>
  <c r="E104"/>
  <c r="B101"/>
  <c r="E101" s="1"/>
  <c r="B89"/>
  <c r="B169"/>
  <c r="B167" s="1"/>
  <c r="B165"/>
  <c r="B161"/>
  <c r="G11"/>
  <c r="B11" s="1"/>
  <c r="B88" l="1"/>
  <c r="B81"/>
  <c r="D67"/>
  <c r="D66" s="1"/>
  <c r="F67"/>
  <c r="F66" s="1"/>
  <c r="G67"/>
  <c r="G66" s="1"/>
  <c r="E125"/>
  <c r="G125"/>
  <c r="B123"/>
  <c r="E140"/>
  <c r="B58"/>
  <c r="D188"/>
  <c r="G188"/>
  <c r="F189"/>
  <c r="F188" s="1"/>
  <c r="B191"/>
  <c r="B125" l="1"/>
  <c r="B130"/>
  <c r="B133"/>
  <c r="G74"/>
  <c r="G70" s="1"/>
  <c r="F73"/>
  <c r="E72"/>
  <c r="E70" s="1"/>
  <c r="D71"/>
  <c r="D70" s="1"/>
  <c r="D78"/>
  <c r="F78"/>
  <c r="G78"/>
  <c r="D76"/>
  <c r="F76"/>
  <c r="G76"/>
  <c r="E76"/>
  <c r="E81"/>
  <c r="E80" s="1"/>
  <c r="B80"/>
  <c r="B78"/>
  <c r="E79" s="1"/>
  <c r="E78" s="1"/>
  <c r="B76"/>
  <c r="F70"/>
  <c r="F127"/>
  <c r="G127"/>
  <c r="B75" l="1"/>
  <c r="B69" s="1"/>
  <c r="E75"/>
  <c r="F75"/>
  <c r="F69" s="1"/>
  <c r="F65" s="1"/>
  <c r="G75"/>
  <c r="G69" s="1"/>
  <c r="G65" s="1"/>
  <c r="D75"/>
  <c r="D69" s="1"/>
  <c r="D65" s="1"/>
  <c r="E69"/>
  <c r="F122"/>
  <c r="G126"/>
  <c r="G122" s="1"/>
  <c r="D60"/>
  <c r="D59" s="1"/>
  <c r="F60"/>
  <c r="F59" s="1"/>
  <c r="G61"/>
  <c r="G60" s="1"/>
  <c r="G59" s="1"/>
  <c r="B192"/>
  <c r="B36"/>
  <c r="E40"/>
  <c r="B119"/>
  <c r="B185"/>
  <c r="E185" s="1"/>
  <c r="E188"/>
  <c r="B188"/>
  <c r="B174"/>
  <c r="E177"/>
  <c r="E144"/>
  <c r="B143"/>
  <c r="B153"/>
  <c r="F183" l="1"/>
  <c r="G183"/>
  <c r="D183"/>
  <c r="B184"/>
  <c r="B183" s="1"/>
  <c r="E184" l="1"/>
  <c r="E183" s="1"/>
  <c r="B163"/>
  <c r="B162"/>
  <c r="B118" l="1"/>
  <c r="E119"/>
  <c r="E117"/>
  <c r="E116"/>
  <c r="B115"/>
  <c r="E93"/>
  <c r="E92"/>
  <c r="E90"/>
  <c r="E87"/>
  <c r="B86"/>
  <c r="B83" s="1"/>
  <c r="E85"/>
  <c r="B68"/>
  <c r="D190"/>
  <c r="D186"/>
  <c r="F186"/>
  <c r="G186"/>
  <c r="D181"/>
  <c r="F181"/>
  <c r="G181"/>
  <c r="D178"/>
  <c r="F178"/>
  <c r="G178"/>
  <c r="D174"/>
  <c r="F174"/>
  <c r="G174"/>
  <c r="D170"/>
  <c r="F170"/>
  <c r="G170"/>
  <c r="D167"/>
  <c r="F167"/>
  <c r="G167"/>
  <c r="D164"/>
  <c r="F164"/>
  <c r="G164"/>
  <c r="D154"/>
  <c r="F154"/>
  <c r="G154"/>
  <c r="D145"/>
  <c r="F145"/>
  <c r="G145"/>
  <c r="D141"/>
  <c r="F141"/>
  <c r="G141"/>
  <c r="D127"/>
  <c r="D122"/>
  <c r="D57"/>
  <c r="F57"/>
  <c r="G57"/>
  <c r="D51"/>
  <c r="F51"/>
  <c r="G51"/>
  <c r="D49"/>
  <c r="F49"/>
  <c r="G49"/>
  <c r="D47"/>
  <c r="E47"/>
  <c r="F47"/>
  <c r="B53"/>
  <c r="E55"/>
  <c r="E54"/>
  <c r="F53"/>
  <c r="G53"/>
  <c r="D53"/>
  <c r="D34"/>
  <c r="G34"/>
  <c r="F34"/>
  <c r="D36"/>
  <c r="F36"/>
  <c r="G36"/>
  <c r="F41"/>
  <c r="G41"/>
  <c r="D41"/>
  <c r="F43"/>
  <c r="D43"/>
  <c r="B43"/>
  <c r="B42"/>
  <c r="B41" s="1"/>
  <c r="G44"/>
  <c r="G45"/>
  <c r="E43"/>
  <c r="E39"/>
  <c r="D9"/>
  <c r="F9"/>
  <c r="E120"/>
  <c r="B113"/>
  <c r="E114"/>
  <c r="E113" s="1"/>
  <c r="F192"/>
  <c r="B35"/>
  <c r="E180"/>
  <c r="B180" s="1"/>
  <c r="B178" s="1"/>
  <c r="E153"/>
  <c r="B128"/>
  <c r="B111"/>
  <c r="E112"/>
  <c r="E111" s="1"/>
  <c r="E106"/>
  <c r="E105" s="1"/>
  <c r="E110"/>
  <c r="B109"/>
  <c r="E96"/>
  <c r="E94"/>
  <c r="E95"/>
  <c r="B57"/>
  <c r="E57"/>
  <c r="E56"/>
  <c r="B186"/>
  <c r="E187"/>
  <c r="E186" s="1"/>
  <c r="B181"/>
  <c r="E182"/>
  <c r="E181" s="1"/>
  <c r="E163"/>
  <c r="E143"/>
  <c r="B173"/>
  <c r="E173" s="1"/>
  <c r="B136"/>
  <c r="E136" s="1"/>
  <c r="E138"/>
  <c r="E139"/>
  <c r="B137"/>
  <c r="E137" s="1"/>
  <c r="E162"/>
  <c r="E152"/>
  <c r="E176"/>
  <c r="E135"/>
  <c r="B48"/>
  <c r="G48" s="1"/>
  <c r="B50"/>
  <c r="E50" s="1"/>
  <c r="B52"/>
  <c r="E52" s="1"/>
  <c r="E51" s="1"/>
  <c r="E151"/>
  <c r="E123"/>
  <c r="E172"/>
  <c r="B134"/>
  <c r="E134" s="1"/>
  <c r="E133"/>
  <c r="E179"/>
  <c r="E161"/>
  <c r="E166"/>
  <c r="E175"/>
  <c r="E150"/>
  <c r="B160"/>
  <c r="E160" s="1"/>
  <c r="E165"/>
  <c r="B132"/>
  <c r="E32"/>
  <c r="B31"/>
  <c r="E31" s="1"/>
  <c r="G10"/>
  <c r="G9" s="1"/>
  <c r="B12"/>
  <c r="E13"/>
  <c r="E12" s="1"/>
  <c r="B26"/>
  <c r="E29"/>
  <c r="B23"/>
  <c r="E25"/>
  <c r="B82" l="1"/>
  <c r="E174"/>
  <c r="G121"/>
  <c r="B51"/>
  <c r="E122"/>
  <c r="B122"/>
  <c r="D121"/>
  <c r="F121"/>
  <c r="E118"/>
  <c r="E42"/>
  <c r="E41" s="1"/>
  <c r="E115"/>
  <c r="E178"/>
  <c r="E82"/>
  <c r="E30"/>
  <c r="E89"/>
  <c r="E88" s="1"/>
  <c r="G43"/>
  <c r="G33" s="1"/>
  <c r="D33"/>
  <c r="E53"/>
  <c r="F46"/>
  <c r="D46"/>
  <c r="B170"/>
  <c r="F33"/>
  <c r="E86"/>
  <c r="E84"/>
  <c r="B30"/>
  <c r="B131"/>
  <c r="B127" s="1"/>
  <c r="E149"/>
  <c r="B159"/>
  <c r="E159" s="1"/>
  <c r="B164"/>
  <c r="E148"/>
  <c r="B158"/>
  <c r="E158" s="1"/>
  <c r="F195" l="1"/>
  <c r="D195"/>
  <c r="E83"/>
  <c r="E164"/>
  <c r="E35"/>
  <c r="E38"/>
  <c r="E28"/>
  <c r="B10"/>
  <c r="E10"/>
  <c r="B15"/>
  <c r="E17"/>
  <c r="E16"/>
  <c r="E37"/>
  <c r="E27"/>
  <c r="E24"/>
  <c r="E23" s="1"/>
  <c r="E22"/>
  <c r="E68"/>
  <c r="E67" s="1"/>
  <c r="E66" s="1"/>
  <c r="E65" s="1"/>
  <c r="E169"/>
  <c r="E147"/>
  <c r="B146"/>
  <c r="B142"/>
  <c r="B141" s="1"/>
  <c r="E129"/>
  <c r="B62"/>
  <c r="E63"/>
  <c r="E64"/>
  <c r="B60"/>
  <c r="E60"/>
  <c r="E191"/>
  <c r="E128"/>
  <c r="B59" l="1"/>
  <c r="E36"/>
  <c r="B145"/>
  <c r="E142"/>
  <c r="E141" s="1"/>
  <c r="E26"/>
  <c r="E15"/>
  <c r="E130"/>
  <c r="E127" s="1"/>
  <c r="E146"/>
  <c r="E145" s="1"/>
  <c r="E62"/>
  <c r="E59" s="1"/>
  <c r="E155"/>
  <c r="B67"/>
  <c r="B66" s="1"/>
  <c r="B65" s="1"/>
  <c r="E21"/>
  <c r="B20"/>
  <c r="B19" s="1"/>
  <c r="B18" s="1"/>
  <c r="E20" l="1"/>
  <c r="E19" s="1"/>
  <c r="E18" s="1"/>
  <c r="E156"/>
  <c r="B157"/>
  <c r="B154" s="1"/>
  <c r="E157" l="1"/>
  <c r="E154" s="1"/>
  <c r="E168"/>
  <c r="E167" s="1"/>
  <c r="E171"/>
  <c r="E170" s="1"/>
  <c r="E14" l="1"/>
  <c r="E9" s="1"/>
  <c r="B14" l="1"/>
  <c r="B9" s="1"/>
  <c r="G47" l="1"/>
  <c r="G46" s="1"/>
  <c r="G195" s="1"/>
  <c r="E34" l="1"/>
  <c r="E33" s="1"/>
  <c r="B34"/>
  <c r="B33" s="1"/>
  <c r="E49" l="1"/>
  <c r="E46" s="1"/>
  <c r="B49"/>
  <c r="B47"/>
  <c r="B46" l="1"/>
  <c r="B190"/>
  <c r="B121" s="1"/>
  <c r="B195" s="1"/>
  <c r="B197" s="1"/>
  <c r="E121"/>
  <c r="E195" s="1"/>
</calcChain>
</file>

<file path=xl/sharedStrings.xml><?xml version="1.0" encoding="utf-8"?>
<sst xmlns="http://schemas.openxmlformats.org/spreadsheetml/2006/main" count="259" uniqueCount="219">
  <si>
    <t>1.</t>
  </si>
  <si>
    <t>2.</t>
  </si>
  <si>
    <t>1.1.</t>
  </si>
  <si>
    <t>2.1.</t>
  </si>
  <si>
    <t>Муниципальная программа "Развитие образования и молодежной политики в городе Урай" на 2019-2030 годы</t>
  </si>
  <si>
    <t>(тыс.рублей)</t>
  </si>
  <si>
    <t>таблица 2 к пояснительной записке</t>
  </si>
  <si>
    <t>№ п/п</t>
  </si>
  <si>
    <t>На какие цели</t>
  </si>
  <si>
    <t>ГРБС</t>
  </si>
  <si>
    <t>Администрация города Урай</t>
  </si>
  <si>
    <t>Управление образования и молодежной политики администрации города Урай</t>
  </si>
  <si>
    <t>Итого расходов</t>
  </si>
  <si>
    <t>Итого расходы бюджета города с учетом корректировки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</si>
  <si>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2021 год и на плановый период 2022 и 2023 годов"                                                     </t>
  </si>
  <si>
    <t>Местный бюджет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</si>
  <si>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</si>
  <si>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</si>
  <si>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"Совершенствование и развитие муниципального управления в городе Урай" на 2018-2030 годы</t>
  </si>
  <si>
    <t>Субсидии ФБ,ОБ всего, в том числе: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</si>
  <si>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</si>
  <si>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3.</t>
  </si>
  <si>
    <t>3.1.</t>
  </si>
  <si>
    <t>3.2.</t>
  </si>
  <si>
    <t>3.3.</t>
  </si>
  <si>
    <t>2021 год</t>
  </si>
  <si>
    <t>Сумма корректировки</t>
  </si>
  <si>
    <t>1.2.</t>
  </si>
  <si>
    <t>1.3.</t>
  </si>
  <si>
    <t xml:space="preserve">Непрограммные направления деятельности </t>
  </si>
  <si>
    <t>4.</t>
  </si>
  <si>
    <t>Муниципальная программа " Культура города Урай" на 2017-2021 годы</t>
  </si>
  <si>
    <t>1.4.</t>
  </si>
  <si>
    <t>1.5.</t>
  </si>
  <si>
    <t>уменьшение бюджетных ассигнований (доля софинансирования местного бюджета по обеспечению жильем молодых семей)</t>
  </si>
  <si>
    <t>обеспечение доли софинансирования местного бюджета по возмещению расходов организации за доставку населению сжиженного газа для бытовых нужд</t>
  </si>
  <si>
    <t xml:space="preserve">перераспределение бюджетных ассигнований в результате экономии по конкурсным процедурам на выполнение работ по содержанию объектов благоустройства города </t>
  </si>
  <si>
    <t>уменьшение ассигнований в связи с отменой мероприятий, связанной с угрозой распространения новой коронавирусной инфекции (COVID-19), а так же экономией в результате проведения конкурсных процедур</t>
  </si>
  <si>
    <t>увеличение ассигнований на реализацию полномочий в области жилищных отношений (доп.заявка, предоставление субсидии на выкуп жилья)</t>
  </si>
  <si>
    <t>федеральный бюджет</t>
  </si>
  <si>
    <t>окружной бюджет</t>
  </si>
  <si>
    <t>изменение штатного расписания администрации г.Урай с 01.01.2021, единовременная выплата при выходе на пенсию сотрудников</t>
  </si>
  <si>
    <t>уменьшение ассигнований в связи с прекращением исполнительного производства (устранение строительных недостатков по ремонту кровли микрорайон 1 дом 5)</t>
  </si>
  <si>
    <t>именные премии для учащихся общеобразовательных учреждений города Урай</t>
  </si>
  <si>
    <t>благоустройство общественных и дворовых территорий</t>
  </si>
  <si>
    <t>благоустройство парковой зоны возле мечети</t>
  </si>
  <si>
    <t>Муниципальная программа «Обеспечение градостроительной деятельности на территории города Урай» на  2018-2030 годы</t>
  </si>
  <si>
    <t>выполнение работ по ремонту кровли муниципального имущества (г.Урай мкр.Западный, д.13)</t>
  </si>
  <si>
    <t>выполнение обследования и капитальный ремонт объект "Урайская окружная больница медицинской реабилитации" (капитальный ремонт котельной)</t>
  </si>
  <si>
    <t>экономия средств по результатам определения стоимости работ на разработку ПСД объект "Рекреационная зона в районе ДС "Звезды Югры"</t>
  </si>
  <si>
    <t>экономия средств по факту выполнения работ объект "Устройство парковки в районе жилого дома №32 мкр.2"</t>
  </si>
  <si>
    <t xml:space="preserve">выплата выкупной стоимости за изымаемые жилые помещения </t>
  </si>
  <si>
    <t>увеличение бюджетных ассигнований на возмещение расходов организации за доставку населению сжиженного газа для бытовых нужд  (ОБ)</t>
  </si>
  <si>
    <t>увеличение ассигнований в рамках подготовки объектов жилищно-коммунального комплекса к ОЗП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</si>
  <si>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</si>
  <si>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увеличение ассигнований  на проведение Всероссийской переписи населения 2020 года (ОБ)</t>
  </si>
  <si>
    <t>увеличение ассигнований на поддержку и развитие животноводства</t>
  </si>
  <si>
    <t>уточнение муниципальной программы (проведение работ по ремонту 50 светодиодных консолей ул.Ленина, ул.Узбекистанская,ул.Парковая, ул.Космонавтов,ул.Строителей, ул.Шевченко, ул.Ивана Шестакова, ул.Нефтяников)</t>
  </si>
  <si>
    <t>восстановление работоспособности 34 торшеров уличного освещения комплекса "Аллея новобрачных", формовка и валка деревьев</t>
  </si>
  <si>
    <t xml:space="preserve">Муниципальная программа "Развитие транспортной системы города Урай" </t>
  </si>
  <si>
    <t xml:space="preserve">оплата за содержание общего имущества муниципальных квартир в период простоя </t>
  </si>
  <si>
    <t>экономия средств по содержанию объектов благоустройства</t>
  </si>
  <si>
    <t>приобретение новогодней иллюминации (замена старой после проведения инвентаризации тех.состояния)</t>
  </si>
  <si>
    <t>5.</t>
  </si>
  <si>
    <t>6.</t>
  </si>
  <si>
    <t xml:space="preserve">уточнение исполнителя мероприятия  по содействию трудоустройству граждан </t>
  </si>
  <si>
    <t>экономия по причине организации отдыха в летний и осенний период в онлайн-формате</t>
  </si>
  <si>
    <t>1.6.</t>
  </si>
  <si>
    <t>3.4.</t>
  </si>
  <si>
    <t>Комитет по финансам администрации города Урай</t>
  </si>
  <si>
    <t>1.7.</t>
  </si>
  <si>
    <t>перераспределение средств с регионального проекта "Создание условий для легкого старта и комфортного ведения бизнеса"</t>
  </si>
  <si>
    <t>Дотации для поощрения достижения наилучших значений показателей деятельности ОМС за счет средств дотации (гранта) из федерального бюджета, в том числе:</t>
  </si>
  <si>
    <t>Дума города Урай</t>
  </si>
  <si>
    <t>обеспечение требований по антитеррористической защищенности объектов (территорий)образовательных организаций, проведение текущих и капитальных ремонтов образовательных организаций, проведение ремонтов автомобильных дорог, мероприятия, связанные с профилактикой и устранением последствий распространения новой коронавирусной инфекции (COVID-19)</t>
  </si>
  <si>
    <t>выполнение работ по разработке ПСД и определения стоимости устройства проезда мкр.Солнечный (обращение жителей микрорайона Солнечный)</t>
  </si>
  <si>
    <t>Муниципальная программа "Профилактика правонарушений на территории города Урай" на 2018-2030 годы</t>
  </si>
  <si>
    <t>выполнение работ по восстановлению системы видеонаблюдения на объекте перекресток ул.Ленина-ул.Ивана Шестакова</t>
  </si>
  <si>
    <t xml:space="preserve">экономия средств в части доли местного бюджета по содействию занятости </t>
  </si>
  <si>
    <t xml:space="preserve">оказание финансовой помощи на организацию и проведение стратегической сессии на тему "Развитие местного сообщества и гражданских инициатив"для МАУ "Культура", изготовление комбинированного шкафа и универсального стола для кабинета изобразительного искусства для МБУ ДО "ДШИ" в рамках финансирования наказов избирателей депутатам Думы Ханты-Мансийского автономного округа-Югры (ОБ) </t>
  </si>
  <si>
    <t>экономия средств в части выплат сотрудникам МАУ "МФЦ" при сокращении</t>
  </si>
  <si>
    <t>экономия средств в части содержания муниципального имущества (содержание казны)</t>
  </si>
  <si>
    <t>Муниципальная программа "Поддержка социально-ориентированных некоммерческих организаций в городе Урай" на 2018-2030 годы</t>
  </si>
  <si>
    <t>Муниципальная программа "Информационное общество-Урай" на 2019-2030 годы</t>
  </si>
  <si>
    <t xml:space="preserve">грант призеру конкурса "Лучший муниципалитет по цифровой трансформации" в 2020 году </t>
  </si>
  <si>
    <t>3.5.</t>
  </si>
  <si>
    <t>премия победителю конкурса в сфере организации мероприятий по профилактике незаконного потребления наркотических средств и психотропных веществ, наркомании</t>
  </si>
  <si>
    <t>перенос пешеходного светофора и дорожных знаков 5.19.1(5.19.2) "Пешеходный переход" на стойку транспортного светофора на перекрестке улиц Нефтяников и Южная</t>
  </si>
  <si>
    <t>выполнение работ по внесению сведений о местоположении границ тер.зон в ЕГРН</t>
  </si>
  <si>
    <t>оснащение муниципальных учреждений МТЦ</t>
  </si>
  <si>
    <t>оказание финансовой поддержки СОНКО в области культуры</t>
  </si>
  <si>
    <t xml:space="preserve">уточнение исполнителя мероприятий программы </t>
  </si>
  <si>
    <t>оказание услуг по организации и проведению ярмарки выходного дня</t>
  </si>
  <si>
    <t>выполнение работ по сносу многоквартирных жилых домов</t>
  </si>
  <si>
    <t>Выполнение работ, связанных с перевозкой пассажиров и багажа на городском автобусном маршруте №8</t>
  </si>
  <si>
    <t>2.2.</t>
  </si>
  <si>
    <t>2.3.</t>
  </si>
  <si>
    <t>2.4.</t>
  </si>
  <si>
    <t>6.1.</t>
  </si>
  <si>
    <t>Приобретение презентационного матричного коммутатора TNT MMS-0404MHD</t>
  </si>
  <si>
    <t>Приобретение оборудования для восстановления системы МАСЦО</t>
  </si>
  <si>
    <t>Ремонт дороги пер. Тихий в ИЖС . Щебенение, Ремонт дороги пер. Ясный в ИЖС. Щебенение</t>
  </si>
  <si>
    <t>Выполнение работ по техническому обслуживанию и очистке систем водоотведения и дренажных труб микрорайоне 2А</t>
  </si>
  <si>
    <t>Ремонт ограждения спортивной площадки в парке "Солнышко"</t>
  </si>
  <si>
    <t>Установка контейнерных площадок по адресам: Г-9, Д-75, ул.Механиков,36, ул.Пионеров,8</t>
  </si>
  <si>
    <t>Ремонт муниципальной квартиры 2-79-53</t>
  </si>
  <si>
    <t>уточнение муниципальной программы (поставка и выполнение работ по установке игрового оборудования на дворовых территориях мкр.2 дом №40,41,50,51,104,105,64,48,30-35,38,39 мкр.-н Западный д.4-6)</t>
  </si>
  <si>
    <t xml:space="preserve">единовременные выплаты к юбилейным датам работникам учреждения, для заключения договора на установку программного обеспечения Контур-Экстерн МКУ "ЦБУ" </t>
  </si>
  <si>
    <t xml:space="preserve">выполнение работ по ремонту конструктивных элементов малых архитектурных форм (115,3 т.р.),поставку двух остановочных комплексов (600 т.р.), выполнение работ по ремонту тротуаров вдоль городских дорог (591,5 т.р). </t>
  </si>
  <si>
    <t>выполнение работ по ремонту внутриквартальных проездов  (498 т.р.), выполнение работ по переносу контейнерной площадки расположенной по адресу: мкр.Западный д.11 (129,9 т.р.)</t>
  </si>
  <si>
    <t>уточнение муниципальной программы (поставка и выполнение работ по установке  игрового оборудования на дворовых территориях мкр.2 дом №40,41,50,51,104,105,64,48,30-35,38,39 мкр.-н Западный д.4-6)</t>
  </si>
  <si>
    <t xml:space="preserve">проведения культурно-массовых мероприятий </t>
  </si>
  <si>
    <t xml:space="preserve">передача средств в МКУ "ЦБУ" для заключения договора на установку программного обеспечения Контур-Экстерн </t>
  </si>
  <si>
    <t xml:space="preserve">перераспределение экономии в связи с увеличением доли окружного бюджета по содействию занятости </t>
  </si>
  <si>
    <t xml:space="preserve">проведение социологического опроса в сфере физической культуры и спорта </t>
  </si>
  <si>
    <t>выполнение работ на  объекте "Капитальный ремонт системы вентиляции ДС "Старт"</t>
  </si>
  <si>
    <t>Благоустройство общественной территории, ограниченной улицами Парковая, Узбекистанская, Южная в районе мечети», «Водоотведение в районе жилого дома №71, микрорайона 1Д», «Благоустройство территории в микрорайоне «Солнечный», «Благоустройство территории в микрорайоне Солнечный по ул. Светлая, ул.Задорная, проезд №1, проез№3</t>
  </si>
  <si>
    <t>увеличение целевого показателя по заработной плате отдельных категорий работников (МБОУ ДО "ДШИ с 66181,0 руб. до 72 588,7 руб., МАУ "Культура" с 64 124,3 руб. до 67 992,02 руб.)</t>
  </si>
  <si>
    <t>обеспечение доступности условий для проживания инвалидов 3-40,мкр.д-53-9, мкр2-38-69</t>
  </si>
  <si>
    <t xml:space="preserve">формовка и вырубка деревьев в районе ТП 53 </t>
  </si>
  <si>
    <t>подготовка документов градорегулирования</t>
  </si>
  <si>
    <t>Муниципальная программа "Управление муниципальными финансами в городе Урай"</t>
  </si>
  <si>
    <t>проведение работ по замене изношенных неизолированных воздушных линий на объекте "ВЛ-0,4кВ наружного освещения от ТП-113" в районе от кольца Аэропорта до школы искусств, работы по восстановлению уличного освещения каре жилого дома, расположенного по адресу: мкр. Западный,д.15</t>
  </si>
  <si>
    <t>поощрение муниципальных управленческих команд,в том числе:</t>
  </si>
  <si>
    <t>6.2.</t>
  </si>
  <si>
    <t>обеспечение требований по антитеррористической защищенности объектов (территорий)образовательных организаций, проведение текущих и капитальных ремонтов образовательных организаций</t>
  </si>
  <si>
    <t>6.3.</t>
  </si>
  <si>
    <t>6.4.</t>
  </si>
  <si>
    <t>Дотации бюджетам городских округов на поддержку мер по обеспечению сбалансированности бюджетов городских округов и муниципальных районов ХМАО-Югры</t>
  </si>
  <si>
    <t>Решение Думы от 21.06.2021 №47</t>
  </si>
  <si>
    <t>обеспечение доли местного бюджета для подготовки к ОЗП</t>
  </si>
  <si>
    <t>проведение мероприятий по обеспечению работоспособности пожарных гидрантов</t>
  </si>
  <si>
    <t>уточнение муниципальной программы и исполнителя (повышение квалификации г.Химки Академия гражданской защиты МЧС России)</t>
  </si>
  <si>
    <t>выполнение работ по устройству фундамента и прокладка наружных инженерных сетей для установки входного павильона на объекте "Набережная реки Конда имени А.И.Петрова"</t>
  </si>
  <si>
    <t>мероприятия по антитеррористической защищенности (изготовление информационных стендов)</t>
  </si>
  <si>
    <t>уменьшение ассигнований по организации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(экономия по причине организации отдыха в онлайн-формате)</t>
  </si>
  <si>
    <t>увеличение бюджетных ассигнований на государственную поддержку отрасли культура (комплектование книжных фондов библиотек), в том числе:</t>
  </si>
  <si>
    <t>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(увеличение целевого показателя по отдельным категориям)</t>
  </si>
  <si>
    <t>обеспечение безопасных и комфортных условий обучения, в том числе устранение предписаний надзорных органов (установка и монтаж оборудования для системы видеонаблюдения)</t>
  </si>
  <si>
    <t>реализация инициативного проекта, отобранного по результатам регионального конкурса (Инициативный проект "Ремонт трибуны городского стадиона  "Нефтяник" на 500 мест)</t>
  </si>
  <si>
    <t>Муниципальная программа "Развитие физической культуры, спорта и туризма в городе Урай" на 2019-2030 годы</t>
  </si>
  <si>
    <t>увеличение бюджетных ассигнований на реализацию программ формирования современной городской среды (объект "Набережная реки Конда имени А.И.Петрова")(ОБ)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</si>
  <si>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</si>
  <si>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Субвенции ОБ,ФБ всего, в том числе:</t>
  </si>
  <si>
    <t>увеличение ассигнований на осуществление переданного полномочия на государственную регистрацию актов гражданского состояния (ФБ)</t>
  </si>
  <si>
    <t>жилье детям-сиротам и детям, оставшимся без попечения родителей, лицам из  их числа по договорам найма специализированных жилых помещений (13 детей нуждающихся в жилье)</t>
  </si>
  <si>
    <t>Иные межбюджетные трансферты, в том числе:</t>
  </si>
  <si>
    <t>увеличение бюджетных ассигнований на реализацию мероприятий по содействию трудоустройству граждан, в том числе на сопровождение инвалидов (ОБ)</t>
  </si>
  <si>
    <t xml:space="preserve">уменьшение ассигнований на реализацию мероприятий по содействию трудоустройству граждан (в рамках подпрограммы "Содействие трудоустройству граждан" уточнение суммы по договору общественных работников) </t>
  </si>
  <si>
    <t>Дотации, в том числе:</t>
  </si>
  <si>
    <t xml:space="preserve"> мероприятия, связанные с профилактикой и устранением последствий распространения новой коронавирусной инфекции (COVID-19) (доплата водителям МКУ "УМТО" за работу в выходные дни в период коронавирусной инфекции (январь-сентябрь 2021 года))</t>
  </si>
  <si>
    <t>проведение ремонтов автомобильных дорог</t>
  </si>
  <si>
    <t>выполнение работ на объекте "Набережная реки Конда имени А.И.Петрова" (на случай доп.работ и увеличения цены контракта на 10%)</t>
  </si>
  <si>
    <t>завершение работ  1 этапа по благоустройству территории мкр.1 вдоль ул.Ленина "Бульвар Содружества" (изготовление и монтаж скамей и урн)</t>
  </si>
  <si>
    <t>разработка ПСД для дальнейшего выполнения работ в 2022 году по благоустройству общественных и дворовых территорий</t>
  </si>
  <si>
    <t>обеспечение доступности условий для инвалида (устройство пандуса мкр Западный дом 6 кв.23)</t>
  </si>
  <si>
    <t>оказание услуг по приему сточных вод в централизованную систему водоотведения (ливневка)</t>
  </si>
  <si>
    <t>выплата единовременной выплаты по решению учредителя работникам МКУ "ЦБУ", МКУ УМТО"(поощрение в результате оценки деятельности ОМС за 2020 год)</t>
  </si>
  <si>
    <t>уменьшение ассигнований в результате определения стоимости СМР объект "Инженерные сети и проезды микрорайон Солнечный", "Инженерные сети по ул.Брусничная в г.Урай", "Инженерные сети микрорайон 1А, г.Урай"(экономия)</t>
  </si>
  <si>
    <t>выполнение работ по  объекту в районе детского парка «Солнышко» для  изготовления техпланов на инженерные сети;
 «Рекреационная зона в районе ДС "Звезды Югры" на разработку проектной документации и прохождение ценовой экспертизы</t>
  </si>
  <si>
    <t>уменьшение ассигнований в результате определения стоимости СМР объект "Устройство водоотвода по улице Толстого (за ТПП "Урайнефтегаз") (экономия)</t>
  </si>
  <si>
    <t xml:space="preserve">экономия средств по объекту "Устройство водоотвода по улице Толстого" </t>
  </si>
  <si>
    <t>экономии средств по конкурсным процедурам по организации транспортного обслуживания населения на городских автобусных маршрутах (426,0 т.р.), экономия по ремонту городских дорог (1089,5 т.р)</t>
  </si>
  <si>
    <t>выплата единовременной выплаты по решению учредителя работникам МКУ "ЕДДС" (поощрение в результате оценки деятельности ОМС за 2020 год)</t>
  </si>
  <si>
    <t>передача средств в МКУ "ЦБУ" для заключения договора на установку программного обеспечения Контур-Экстерн 14,7 т.р., экономия по программным мероприятиям в связи с пандемией 142,8 т.р.,экономия в рамках конкурсных процедур по минерализованным полосам 10,5 т.р.</t>
  </si>
  <si>
    <t>замена источника финансирования в связи с получением дотации на реализацию Указа Президента РФ</t>
  </si>
  <si>
    <t>Резервный фонд администрации города Урай (выделение средств на исполнение судебных актов)</t>
  </si>
  <si>
    <t>исполнение судебных актов (выделены за счет средств резервного фонда администрации г.Урай)</t>
  </si>
  <si>
    <t xml:space="preserve">уменьшение ассигнований на 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(экономия средств в части организации летнего отдыха, приобретено меньшее кол-во путевок в детские лагеря в связи с пандемией) </t>
  </si>
  <si>
    <t>уменьшение ассигнований на реализацию мероприятий по обеспечению жильем молодых семей в рамках мероприятий государственной программы "Обеспечение доступным и комфортным жильем и коммунальными услугами граждан РФ" (уточнение списка получателей), в том числе:</t>
  </si>
  <si>
    <t>реализация инициативного проекта, отобранного по результатам регионального конкурса (Инициативный проект "Изготовление и установка на набережной реки Конда им. Александра Петрова "Берег Сури" арт-объекта, символизирующего птицу Сури")</t>
  </si>
  <si>
    <t>уменьшение ассигнований по опеке и попечительству (с учетом ожидаемых фактических расходов)</t>
  </si>
  <si>
    <t>увеличение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 учетом ожидаемого исполнения)</t>
  </si>
  <si>
    <t>4.1.</t>
  </si>
  <si>
    <t>4.2.</t>
  </si>
  <si>
    <t>Финансирование мероприятий на 2021 год в рамках Соглашения о сотрудничестве между Правительством Ханты-Мансийского автономного округа –Югры и ПАО «Нефтяная компания "ЛУКОЙЛ"</t>
  </si>
  <si>
    <t>5.1.</t>
  </si>
  <si>
    <t>5.1.1.</t>
  </si>
  <si>
    <t>5.2.</t>
  </si>
  <si>
    <t>5.2.1.</t>
  </si>
  <si>
    <t>5.2.3.</t>
  </si>
  <si>
    <t>5.2.4.</t>
  </si>
  <si>
    <t>5.2.5.</t>
  </si>
  <si>
    <t>5.2.6.</t>
  </si>
  <si>
    <t>5.2.7.</t>
  </si>
  <si>
    <t>5.2.8.</t>
  </si>
  <si>
    <t>5.3.</t>
  </si>
  <si>
    <t xml:space="preserve">благоустройство дворовой территории мкр.3 дома №№12-16 </t>
  </si>
  <si>
    <t>5.3.1.</t>
  </si>
  <si>
    <t>5.3.2.</t>
  </si>
  <si>
    <t>5.3.3.</t>
  </si>
  <si>
    <t>5.3.4.</t>
  </si>
  <si>
    <t>5.3.5.</t>
  </si>
  <si>
    <t>5.3.6.</t>
  </si>
  <si>
    <t>5.3.7.</t>
  </si>
  <si>
    <t>содержание муниципального имущества (ремонт автотранспорта (кол-во 18), приобретение зимних шин, поставка аккумуляторов, содержание общественного туалета на территории детского городка "Солнышко")</t>
  </si>
  <si>
    <t>5.3.8.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</si>
  <si>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</si>
  <si>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</si>
  <si>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</si>
  <si>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</si>
  <si>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</si>
  <si>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</si>
  <si>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</si>
  <si>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</si>
  <si>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</si>
  <si>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</si>
  <si>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</si>
  <si>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на ремонт автомобиля, попавшего в ДТП (за счет средств, поступивших от страхового случая)</t>
  </si>
  <si>
    <t>перераспределение доли местного бюджета (региональный проект "Успех каждого ребенка", изменены критерии участия в проекте)</t>
  </si>
  <si>
    <t>замена источника финансирования (в связи с получением дотации для поощрения достижения наилучших значений показателей деятельности ОМС)</t>
  </si>
  <si>
    <t>взносы на кап.ремонт муниципального жилищного фонда, расположенного в многоквартирных жилых домах на территории г.Урай (в связи с ростом на 4,2% максимального размера  взносов на кап.ремонт МКД, увеличение площадей муниципального жилфонда)</t>
  </si>
  <si>
    <t xml:space="preserve">реализация инициативного проекта, отобранного по результатам регионального конкурса (Инициативный проект "Пусть наш двор станет лучше" Обустройство придомовых территорий в микрорайонах 2 и 2А новыми детскими площадками для игр) </t>
  </si>
  <si>
    <t>перераспределение средств на региональный проект "Акселерация субъектов малого и среднего предпринимательства"</t>
  </si>
  <si>
    <t xml:space="preserve">оказание финансовой помощи на приобретение линолеума МБОУ СОШ №4, экипировки для Всероссийского общественного движение "Волонтеры Победы" МБУ"ЦМДО", измельчители веток и древесины, бензиновые триммеры, садовый инвентарь, кондиционер, логопедический инструмент МБДОУ Д/сад №1, приобретение МАФов д/сад №21, приобретение ноутбуков д/сад №6, приобретение оргтехники, мотокосы, стройматериалы д/сад №8, мебель для кухни д/сад №14, участие в УТС по дпайвингу в г.Севастополе МБОУ СОШ №5 в рамках финансирования наказов избирателей депутатам Думы Ханты-Мансийского автономного округа-Югры (ОБ) </t>
  </si>
  <si>
    <t xml:space="preserve">оказание финансовой помощи на проведение тренировочных мероприятий по боксу, проведение открытого регионального турнира по боксу, посвященного Дню Победы в ВОВ, приобретение спортивного инвентаря, спортивной формы, участие сборной команды г.Урай в кубке Европы по мини-футболу, поездка на УТС сборных команд по плаванию и спортивной акробатике, участие в соревнованиях по мини-футболу для МАУ "Спортивная школа "Старт" в рамках финансирования наказов избирателей депутатам Думы Ханты-Мансийского автономного округа-Югры (ОБ) </t>
  </si>
  <si>
    <t>установка четырех пешеходных светофоров и обустройство двух пешеходных переходов, в соответствии со схемой дорожного движения в районе улиц Парковая и Узбекистанская</t>
  </si>
  <si>
    <t>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Югры, Дотации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Югры, дотации на поощрение достижения наилучших значений показателей деятельности ОМС</t>
  </si>
  <si>
    <t>уточнение исполнителя мероприятий связанных с профилактикой и устранением последствий распространения новой коронавирусной инфекции (COVID-19)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</si>
</sst>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0000000"/>
    <numFmt numFmtId="169" formatCode="000"/>
    <numFmt numFmtId="170" formatCode="0.0"/>
  </numFmts>
  <fonts count="2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2" borderId="1">
      <alignment horizontal="left" vertical="top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3" fillId="0" borderId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20">
    <xf numFmtId="0" fontId="0" fillId="0" borderId="0" xfId="0"/>
    <xf numFmtId="0" fontId="11" fillId="0" borderId="0" xfId="0" applyFont="1"/>
    <xf numFmtId="0" fontId="11" fillId="3" borderId="0" xfId="0" applyFont="1" applyFill="1"/>
    <xf numFmtId="0" fontId="12" fillId="3" borderId="2" xfId="0" applyFont="1" applyFill="1" applyBorder="1" applyAlignment="1">
      <alignment horizontal="center"/>
    </xf>
    <xf numFmtId="0" fontId="8" fillId="0" borderId="0" xfId="0" applyFont="1"/>
    <xf numFmtId="164" fontId="11" fillId="3" borderId="0" xfId="3" applyFont="1" applyFill="1"/>
    <xf numFmtId="43" fontId="11" fillId="3" borderId="0" xfId="0" applyNumberFormat="1" applyFont="1" applyFill="1"/>
    <xf numFmtId="167" fontId="11" fillId="3" borderId="0" xfId="0" applyNumberFormat="1" applyFont="1" applyFill="1"/>
    <xf numFmtId="0" fontId="15" fillId="0" borderId="0" xfId="0" applyFont="1"/>
    <xf numFmtId="0" fontId="10" fillId="3" borderId="2" xfId="9" applyFont="1" applyFill="1" applyBorder="1" applyAlignment="1">
      <alignment horizontal="left" vertical="center" wrapText="1"/>
    </xf>
    <xf numFmtId="165" fontId="10" fillId="3" borderId="2" xfId="0" applyNumberFormat="1" applyFont="1" applyFill="1" applyBorder="1"/>
    <xf numFmtId="0" fontId="10" fillId="3" borderId="2" xfId="9" applyFont="1" applyFill="1" applyBorder="1" applyAlignment="1"/>
    <xf numFmtId="0" fontId="10" fillId="3" borderId="2" xfId="9" applyFont="1" applyFill="1" applyBorder="1"/>
    <xf numFmtId="0" fontId="16" fillId="0" borderId="0" xfId="0" applyFont="1" applyFill="1"/>
    <xf numFmtId="167" fontId="16" fillId="0" borderId="0" xfId="0" applyNumberFormat="1" applyFont="1" applyFill="1"/>
    <xf numFmtId="165" fontId="16" fillId="0" borderId="0" xfId="0" applyNumberFormat="1" applyFont="1"/>
    <xf numFmtId="0" fontId="16" fillId="0" borderId="0" xfId="0" applyFont="1"/>
    <xf numFmtId="167" fontId="16" fillId="0" borderId="0" xfId="0" applyNumberFormat="1" applyFont="1"/>
    <xf numFmtId="0" fontId="19" fillId="0" borderId="0" xfId="0" applyFont="1" applyFill="1"/>
    <xf numFmtId="165" fontId="16" fillId="3" borderId="0" xfId="0" applyNumberFormat="1" applyFont="1" applyFill="1"/>
    <xf numFmtId="0" fontId="16" fillId="3" borderId="0" xfId="0" applyFont="1" applyFill="1"/>
    <xf numFmtId="167" fontId="17" fillId="3" borderId="2" xfId="0" applyNumberFormat="1" applyFont="1" applyFill="1" applyBorder="1" applyAlignment="1">
      <alignment horizontal="right"/>
    </xf>
    <xf numFmtId="165" fontId="19" fillId="3" borderId="0" xfId="0" applyNumberFormat="1" applyFont="1" applyFill="1"/>
    <xf numFmtId="0" fontId="19" fillId="3" borderId="0" xfId="0" applyFont="1" applyFill="1"/>
    <xf numFmtId="167" fontId="19" fillId="3" borderId="2" xfId="0" applyNumberFormat="1" applyFont="1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167" fontId="17" fillId="3" borderId="2" xfId="0" applyNumberFormat="1" applyFont="1" applyFill="1" applyBorder="1"/>
    <xf numFmtId="0" fontId="19" fillId="3" borderId="2" xfId="0" applyFont="1" applyFill="1" applyBorder="1" applyAlignment="1">
      <alignment horizontal="right"/>
    </xf>
    <xf numFmtId="167" fontId="19" fillId="3" borderId="2" xfId="0" applyNumberFormat="1" applyFont="1" applyFill="1" applyBorder="1"/>
    <xf numFmtId="0" fontId="17" fillId="0" borderId="0" xfId="0" applyFont="1" applyFill="1"/>
    <xf numFmtId="0" fontId="20" fillId="3" borderId="7" xfId="0" applyFont="1" applyFill="1" applyBorder="1" applyAlignment="1">
      <alignment wrapText="1"/>
    </xf>
    <xf numFmtId="0" fontId="20" fillId="3" borderId="2" xfId="0" applyFont="1" applyFill="1" applyBorder="1" applyAlignment="1">
      <alignment wrapText="1"/>
    </xf>
    <xf numFmtId="0" fontId="20" fillId="3" borderId="3" xfId="9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left" wrapText="1"/>
    </xf>
    <xf numFmtId="0" fontId="20" fillId="3" borderId="3" xfId="0" applyNumberFormat="1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0" xfId="0" applyFont="1" applyFill="1"/>
    <xf numFmtId="0" fontId="20" fillId="3" borderId="2" xfId="0" applyFont="1" applyFill="1" applyBorder="1" applyAlignment="1">
      <alignment vertical="center" wrapText="1"/>
    </xf>
    <xf numFmtId="168" fontId="18" fillId="3" borderId="2" xfId="9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>
      <alignment horizontal="right"/>
    </xf>
    <xf numFmtId="167" fontId="19" fillId="0" borderId="0" xfId="0" applyNumberFormat="1" applyFont="1" applyFill="1"/>
    <xf numFmtId="0" fontId="20" fillId="3" borderId="2" xfId="9" applyFont="1" applyFill="1" applyBorder="1" applyAlignment="1">
      <alignment horizontal="left" wrapText="1"/>
    </xf>
    <xf numFmtId="0" fontId="20" fillId="3" borderId="7" xfId="9" applyNumberFormat="1" applyFont="1" applyFill="1" applyBorder="1" applyAlignment="1">
      <alignment horizontal="left" wrapText="1"/>
    </xf>
    <xf numFmtId="0" fontId="18" fillId="3" borderId="2" xfId="9" applyNumberFormat="1" applyFont="1" applyFill="1" applyBorder="1" applyAlignment="1">
      <alignment horizontal="left" wrapText="1"/>
    </xf>
    <xf numFmtId="0" fontId="20" fillId="3" borderId="5" xfId="9" applyFont="1" applyFill="1" applyBorder="1" applyAlignment="1">
      <alignment wrapText="1"/>
    </xf>
    <xf numFmtId="0" fontId="20" fillId="3" borderId="3" xfId="9" applyFont="1" applyFill="1" applyBorder="1" applyAlignment="1">
      <alignment wrapText="1"/>
    </xf>
    <xf numFmtId="168" fontId="18" fillId="3" borderId="2" xfId="9" applyNumberFormat="1" applyFont="1" applyFill="1" applyBorder="1" applyAlignment="1" applyProtection="1">
      <alignment vertical="center" wrapText="1"/>
      <protection hidden="1"/>
    </xf>
    <xf numFmtId="0" fontId="8" fillId="3" borderId="2" xfId="0" applyFont="1" applyFill="1" applyBorder="1" applyAlignment="1">
      <alignment vertical="center" wrapText="1"/>
    </xf>
    <xf numFmtId="165" fontId="11" fillId="3" borderId="0" xfId="0" applyNumberFormat="1" applyFont="1" applyFill="1"/>
    <xf numFmtId="167" fontId="19" fillId="3" borderId="0" xfId="0" applyNumberFormat="1" applyFont="1" applyFill="1"/>
    <xf numFmtId="166" fontId="18" fillId="3" borderId="2" xfId="1" applyNumberFormat="1" applyFont="1" applyFill="1" applyBorder="1" applyAlignment="1" applyProtection="1">
      <alignment horizontal="left" wrapText="1"/>
      <protection hidden="1"/>
    </xf>
    <xf numFmtId="0" fontId="18" fillId="3" borderId="3" xfId="9" applyFont="1" applyFill="1" applyBorder="1" applyAlignment="1">
      <alignment wrapText="1"/>
    </xf>
    <xf numFmtId="0" fontId="8" fillId="3" borderId="3" xfId="0" applyFont="1" applyFill="1" applyBorder="1" applyAlignment="1">
      <alignment vertical="center" wrapText="1"/>
    </xf>
    <xf numFmtId="170" fontId="18" fillId="3" borderId="3" xfId="9" applyNumberFormat="1" applyFont="1" applyFill="1" applyBorder="1" applyAlignment="1">
      <alignment wrapText="1"/>
    </xf>
    <xf numFmtId="0" fontId="18" fillId="3" borderId="2" xfId="9" applyFont="1" applyFill="1" applyBorder="1" applyAlignment="1">
      <alignment wrapText="1"/>
    </xf>
    <xf numFmtId="0" fontId="20" fillId="3" borderId="2" xfId="9" applyFont="1" applyFill="1" applyBorder="1" applyAlignment="1">
      <alignment vertical="center" wrapText="1"/>
    </xf>
    <xf numFmtId="164" fontId="19" fillId="0" borderId="0" xfId="3" applyFont="1" applyFill="1"/>
    <xf numFmtId="0" fontId="16" fillId="4" borderId="0" xfId="0" applyFont="1" applyFill="1"/>
    <xf numFmtId="0" fontId="19" fillId="3" borderId="2" xfId="9" applyFont="1" applyFill="1" applyBorder="1" applyAlignment="1">
      <alignment wrapText="1"/>
    </xf>
    <xf numFmtId="166" fontId="20" fillId="3" borderId="2" xfId="1" applyNumberFormat="1" applyFont="1" applyFill="1" applyBorder="1" applyAlignment="1" applyProtection="1">
      <alignment horizontal="left" wrapText="1"/>
      <protection hidden="1"/>
    </xf>
    <xf numFmtId="166" fontId="20" fillId="3" borderId="2" xfId="9" applyNumberFormat="1" applyFont="1" applyFill="1" applyBorder="1" applyAlignment="1" applyProtection="1">
      <alignment horizontal="left" wrapText="1"/>
      <protection hidden="1"/>
    </xf>
    <xf numFmtId="166" fontId="18" fillId="3" borderId="2" xfId="9" applyNumberFormat="1" applyFont="1" applyFill="1" applyBorder="1" applyAlignment="1" applyProtection="1">
      <alignment horizontal="left" wrapText="1"/>
      <protection hidden="1"/>
    </xf>
    <xf numFmtId="0" fontId="23" fillId="3" borderId="2" xfId="0" applyFont="1" applyFill="1" applyBorder="1" applyAlignment="1">
      <alignment horizontal="right"/>
    </xf>
    <xf numFmtId="167" fontId="23" fillId="3" borderId="2" xfId="0" applyNumberFormat="1" applyFont="1" applyFill="1" applyBorder="1"/>
    <xf numFmtId="0" fontId="18" fillId="3" borderId="2" xfId="0" applyFont="1" applyFill="1" applyBorder="1" applyAlignment="1">
      <alignment horizontal="left" wrapText="1"/>
    </xf>
    <xf numFmtId="0" fontId="22" fillId="3" borderId="2" xfId="0" applyNumberFormat="1" applyFont="1" applyFill="1" applyBorder="1" applyAlignment="1">
      <alignment vertical="center" wrapText="1"/>
    </xf>
    <xf numFmtId="167" fontId="19" fillId="3" borderId="0" xfId="0" applyNumberFormat="1" applyFont="1" applyFill="1" applyBorder="1"/>
    <xf numFmtId="168" fontId="20" fillId="3" borderId="2" xfId="9" applyNumberFormat="1" applyFont="1" applyFill="1" applyBorder="1" applyAlignment="1" applyProtection="1">
      <alignment wrapText="1"/>
      <protection hidden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/>
    <xf numFmtId="0" fontId="8" fillId="3" borderId="0" xfId="0" applyFont="1" applyFill="1" applyAlignment="1">
      <alignment wrapText="1"/>
    </xf>
    <xf numFmtId="0" fontId="20" fillId="3" borderId="2" xfId="0" applyNumberFormat="1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26" fillId="3" borderId="2" xfId="0" applyFont="1" applyFill="1" applyBorder="1" applyAlignment="1">
      <alignment horizontal="right"/>
    </xf>
    <xf numFmtId="167" fontId="26" fillId="3" borderId="2" xfId="0" applyNumberFormat="1" applyFont="1" applyFill="1" applyBorder="1"/>
    <xf numFmtId="0" fontId="27" fillId="3" borderId="2" xfId="0" applyFont="1" applyFill="1" applyBorder="1" applyAlignment="1">
      <alignment vertical="center" wrapText="1"/>
    </xf>
    <xf numFmtId="0" fontId="8" fillId="3" borderId="0" xfId="0" applyFont="1" applyFill="1"/>
    <xf numFmtId="0" fontId="11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18" fillId="3" borderId="7" xfId="9" applyFont="1" applyFill="1" applyBorder="1" applyAlignment="1"/>
    <xf numFmtId="166" fontId="18" fillId="3" borderId="3" xfId="11" applyNumberFormat="1" applyFont="1" applyFill="1" applyBorder="1" applyAlignment="1" applyProtection="1">
      <alignment wrapText="1"/>
      <protection hidden="1"/>
    </xf>
    <xf numFmtId="169" fontId="18" fillId="3" borderId="2" xfId="9" applyNumberFormat="1" applyFont="1" applyFill="1" applyBorder="1" applyAlignment="1" applyProtection="1">
      <alignment wrapText="1"/>
      <protection hidden="1"/>
    </xf>
    <xf numFmtId="167" fontId="19" fillId="3" borderId="2" xfId="0" applyNumberFormat="1" applyFont="1" applyFill="1" applyBorder="1" applyAlignment="1">
      <alignment horizontal="center"/>
    </xf>
    <xf numFmtId="165" fontId="18" fillId="3" borderId="7" xfId="9" applyNumberFormat="1" applyFont="1" applyFill="1" applyBorder="1" applyAlignment="1"/>
    <xf numFmtId="0" fontId="18" fillId="3" borderId="2" xfId="0" applyFont="1" applyFill="1" applyBorder="1"/>
    <xf numFmtId="0" fontId="18" fillId="3" borderId="2" xfId="0" applyNumberFormat="1" applyFont="1" applyFill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left" wrapText="1"/>
    </xf>
    <xf numFmtId="0" fontId="24" fillId="3" borderId="3" xfId="0" applyNumberFormat="1" applyFont="1" applyFill="1" applyBorder="1" applyAlignment="1">
      <alignment horizontal="left" wrapText="1"/>
    </xf>
    <xf numFmtId="0" fontId="20" fillId="3" borderId="5" xfId="9" applyNumberFormat="1" applyFont="1" applyFill="1" applyBorder="1" applyAlignment="1">
      <alignment wrapText="1"/>
    </xf>
    <xf numFmtId="0" fontId="10" fillId="3" borderId="2" xfId="0" applyFont="1" applyFill="1" applyBorder="1"/>
    <xf numFmtId="167" fontId="10" fillId="3" borderId="2" xfId="0" applyNumberFormat="1" applyFont="1" applyFill="1" applyBorder="1"/>
    <xf numFmtId="0" fontId="26" fillId="3" borderId="2" xfId="0" applyFont="1" applyFill="1" applyBorder="1" applyAlignment="1">
      <alignment horizontal="center"/>
    </xf>
    <xf numFmtId="167" fontId="23" fillId="3" borderId="2" xfId="0" applyNumberFormat="1" applyFont="1" applyFill="1" applyBorder="1" applyAlignment="1">
      <alignment horizontal="right"/>
    </xf>
    <xf numFmtId="0" fontId="24" fillId="3" borderId="7" xfId="0" applyFont="1" applyFill="1" applyBorder="1" applyAlignment="1">
      <alignment wrapText="1"/>
    </xf>
    <xf numFmtId="167" fontId="26" fillId="3" borderId="2" xfId="0" applyNumberFormat="1" applyFont="1" applyFill="1" applyBorder="1" applyAlignment="1">
      <alignment horizontal="right"/>
    </xf>
    <xf numFmtId="165" fontId="23" fillId="3" borderId="0" xfId="0" applyNumberFormat="1" applyFont="1" applyFill="1"/>
    <xf numFmtId="0" fontId="23" fillId="3" borderId="0" xfId="0" applyFont="1" applyFill="1"/>
    <xf numFmtId="0" fontId="28" fillId="3" borderId="2" xfId="0" applyNumberFormat="1" applyFont="1" applyFill="1" applyBorder="1" applyAlignment="1">
      <alignment vertical="center" wrapText="1"/>
    </xf>
    <xf numFmtId="167" fontId="17" fillId="3" borderId="0" xfId="0" applyNumberFormat="1" applyFont="1" applyFill="1" applyBorder="1"/>
    <xf numFmtId="165" fontId="25" fillId="3" borderId="0" xfId="0" applyNumberFormat="1" applyFont="1" applyFill="1"/>
    <xf numFmtId="0" fontId="25" fillId="3" borderId="0" xfId="0" applyFont="1" applyFill="1"/>
    <xf numFmtId="0" fontId="25" fillId="0" borderId="0" xfId="0" applyFont="1" applyFill="1"/>
    <xf numFmtId="0" fontId="11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2" xfId="1"/>
    <cellStyle name="Обычный 2 2" xfId="9"/>
    <cellStyle name="Обычный 2 3" xfId="22"/>
    <cellStyle name="Обычный 2 4" xfId="21"/>
    <cellStyle name="Обычный 3" xfId="2"/>
    <cellStyle name="Обычный 3 2" xfId="10"/>
    <cellStyle name="Обычный 3 3" xfId="15"/>
    <cellStyle name="Обычный 3 3 2" xfId="23"/>
    <cellStyle name="Обычный 3 3 3" xfId="29"/>
    <cellStyle name="Обычный 4" xfId="7"/>
    <cellStyle name="Обычный 5" xfId="8"/>
    <cellStyle name="Обычный 5 2" xfId="20"/>
    <cellStyle name="Обычный 5 2 2" xfId="34"/>
    <cellStyle name="Обычный 5 3" xfId="28"/>
    <cellStyle name="Обычный_tmp 2" xfId="11"/>
    <cellStyle name="Финансовый" xfId="3" builtinId="3"/>
    <cellStyle name="Финансовый 2" xfId="4"/>
    <cellStyle name="Финансовый 2 2" xfId="13"/>
    <cellStyle name="Финансовый 2 2 2" xfId="18"/>
    <cellStyle name="Финансовый 2 2 2 2" xfId="32"/>
    <cellStyle name="Финансовый 2 2 3" xfId="26"/>
    <cellStyle name="Финансовый 3" xfId="5"/>
    <cellStyle name="Финансовый 3 2" xfId="14"/>
    <cellStyle name="Финансовый 3 2 2" xfId="19"/>
    <cellStyle name="Финансовый 3 2 2 2" xfId="33"/>
    <cellStyle name="Финансовый 3 2 3" xfId="27"/>
    <cellStyle name="Финансовый 4" xfId="12"/>
    <cellStyle name="Финансовый 4 2" xfId="17"/>
    <cellStyle name="Финансовый 4 2 2" xfId="31"/>
    <cellStyle name="Финансовый 4 3" xfId="25"/>
    <cellStyle name="Финансовый 5" xfId="16"/>
    <cellStyle name="Финансовый 5 2" xfId="30"/>
    <cellStyle name="Финансовый 6" xfId="24"/>
    <cellStyle name="Финансовый 6 2" xfId="35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80" zoomScaleNormal="80" workbookViewId="0">
      <pane xSplit="2" ySplit="8" topLeftCell="C182" activePane="bottomRight" state="frozen"/>
      <selection pane="topRight" activeCell="E1" sqref="E1"/>
      <selection pane="bottomLeft" activeCell="A7" sqref="A7"/>
      <selection pane="bottomRight" sqref="A1:G197"/>
    </sheetView>
  </sheetViews>
  <sheetFormatPr defaultRowHeight="15.75"/>
  <cols>
    <col min="1" max="1" width="6.42578125" style="1" customWidth="1"/>
    <col min="2" max="2" width="14" style="2" customWidth="1"/>
    <col min="3" max="3" width="66.28515625" style="4" customWidth="1"/>
    <col min="4" max="4" width="13.28515625" style="4" customWidth="1"/>
    <col min="5" max="6" width="16" style="1" customWidth="1"/>
    <col min="7" max="7" width="17" style="1" customWidth="1"/>
    <col min="8" max="8" width="12.5703125" style="1" customWidth="1"/>
    <col min="9" max="10" width="11.42578125" style="1" customWidth="1"/>
    <col min="11" max="16384" width="9.140625" style="1"/>
  </cols>
  <sheetData>
    <row r="1" spans="1:10">
      <c r="A1" s="2"/>
      <c r="C1" s="78"/>
      <c r="D1" s="78"/>
      <c r="E1" s="106" t="s">
        <v>6</v>
      </c>
      <c r="F1" s="106"/>
      <c r="G1" s="106"/>
    </row>
    <row r="2" spans="1:10" s="8" customFormat="1" ht="34.5" customHeight="1">
      <c r="A2" s="107" t="s">
        <v>14</v>
      </c>
      <c r="B2" s="107"/>
      <c r="C2" s="107"/>
      <c r="D2" s="107"/>
      <c r="E2" s="107"/>
      <c r="F2" s="107"/>
      <c r="G2" s="107"/>
    </row>
    <row r="3" spans="1:10" ht="13.5" customHeight="1">
      <c r="A3" s="79"/>
      <c r="B3" s="79"/>
      <c r="C3" s="80"/>
      <c r="D3" s="80"/>
      <c r="E3" s="79"/>
      <c r="F3" s="79"/>
      <c r="G3" s="79"/>
    </row>
    <row r="4" spans="1:10">
      <c r="A4" s="2"/>
      <c r="C4" s="78"/>
      <c r="D4" s="78"/>
      <c r="E4" s="2"/>
      <c r="F4" s="2"/>
      <c r="G4" s="81" t="s">
        <v>5</v>
      </c>
    </row>
    <row r="5" spans="1:10" ht="19.5" customHeight="1">
      <c r="A5" s="111" t="s">
        <v>7</v>
      </c>
      <c r="B5" s="108" t="s">
        <v>26</v>
      </c>
      <c r="C5" s="114" t="s">
        <v>8</v>
      </c>
      <c r="D5" s="117" t="s">
        <v>9</v>
      </c>
      <c r="E5" s="117"/>
      <c r="F5" s="117"/>
      <c r="G5" s="117"/>
    </row>
    <row r="6" spans="1:10" ht="26.25" customHeight="1">
      <c r="A6" s="112"/>
      <c r="B6" s="109"/>
      <c r="C6" s="115"/>
      <c r="D6" s="118" t="s">
        <v>73</v>
      </c>
      <c r="E6" s="110" t="s">
        <v>10</v>
      </c>
      <c r="F6" s="110" t="s">
        <v>69</v>
      </c>
      <c r="G6" s="110" t="s">
        <v>11</v>
      </c>
    </row>
    <row r="7" spans="1:10" ht="62.25" customHeight="1">
      <c r="A7" s="113"/>
      <c r="B7" s="73" t="s">
        <v>25</v>
      </c>
      <c r="C7" s="116"/>
      <c r="D7" s="119"/>
      <c r="E7" s="110"/>
      <c r="F7" s="110"/>
      <c r="G7" s="110"/>
    </row>
    <row r="8" spans="1:10">
      <c r="A8" s="3">
        <v>1</v>
      </c>
      <c r="B8" s="3">
        <v>2</v>
      </c>
      <c r="C8" s="82">
        <v>3</v>
      </c>
      <c r="D8" s="3">
        <v>4</v>
      </c>
      <c r="E8" s="3">
        <v>5</v>
      </c>
      <c r="F8" s="3">
        <v>6</v>
      </c>
      <c r="G8" s="3">
        <v>7</v>
      </c>
    </row>
    <row r="9" spans="1:10" s="16" customFormat="1">
      <c r="A9" s="35" t="s">
        <v>0</v>
      </c>
      <c r="B9" s="21">
        <f>B10+B12+B14+B18+B23+B26+B30</f>
        <v>81887.399999999994</v>
      </c>
      <c r="C9" s="83" t="s">
        <v>19</v>
      </c>
      <c r="D9" s="21">
        <f>D10+D12+D14+D18+D23+D26+D30</f>
        <v>0</v>
      </c>
      <c r="E9" s="21">
        <f>E10+E12+E14+E18+E23+E26+E30</f>
        <v>87409.5</v>
      </c>
      <c r="F9" s="21">
        <f t="shared" ref="F9:G9" si="0">F10+F12+F14+F18+F23+F26+F30</f>
        <v>0</v>
      </c>
      <c r="G9" s="21">
        <f t="shared" si="0"/>
        <v>-5522.1</v>
      </c>
      <c r="H9" s="15"/>
      <c r="I9" s="15"/>
      <c r="J9" s="15"/>
    </row>
    <row r="10" spans="1:10" s="18" customFormat="1" ht="31.5">
      <c r="A10" s="25" t="s">
        <v>2</v>
      </c>
      <c r="B10" s="26">
        <f>B11</f>
        <v>-5790.8</v>
      </c>
      <c r="C10" s="84" t="s">
        <v>4</v>
      </c>
      <c r="D10" s="26">
        <f>D11</f>
        <v>0</v>
      </c>
      <c r="E10" s="26">
        <f>E11</f>
        <v>-268.7</v>
      </c>
      <c r="F10" s="26">
        <f>F11</f>
        <v>0</v>
      </c>
      <c r="G10" s="26">
        <f>G11</f>
        <v>-5522.1</v>
      </c>
    </row>
    <row r="11" spans="1:10" s="18" customFormat="1" ht="96.75" customHeight="1">
      <c r="A11" s="27"/>
      <c r="B11" s="28">
        <f>SUM(D11:G11)</f>
        <v>-5790.8</v>
      </c>
      <c r="C11" s="30" t="s">
        <v>135</v>
      </c>
      <c r="D11" s="30"/>
      <c r="E11" s="28">
        <v>-268.7</v>
      </c>
      <c r="F11" s="28"/>
      <c r="G11" s="28">
        <f>-5199.3-322.8</f>
        <v>-5522.1</v>
      </c>
    </row>
    <row r="12" spans="1:10" s="18" customFormat="1" ht="28.5" customHeight="1">
      <c r="A12" s="25" t="s">
        <v>27</v>
      </c>
      <c r="B12" s="26">
        <f>B13</f>
        <v>2190</v>
      </c>
      <c r="C12" s="85" t="s">
        <v>140</v>
      </c>
      <c r="D12" s="26">
        <f>D13</f>
        <v>0</v>
      </c>
      <c r="E12" s="26">
        <f>E13</f>
        <v>2190</v>
      </c>
      <c r="F12" s="26">
        <f t="shared" ref="F12:G12" si="1">F13</f>
        <v>0</v>
      </c>
      <c r="G12" s="26">
        <f t="shared" si="1"/>
        <v>0</v>
      </c>
    </row>
    <row r="13" spans="1:10" s="18" customFormat="1" ht="47.25">
      <c r="A13" s="27"/>
      <c r="B13" s="28">
        <v>2190</v>
      </c>
      <c r="C13" s="30" t="s">
        <v>139</v>
      </c>
      <c r="D13" s="30"/>
      <c r="E13" s="28">
        <f>B13</f>
        <v>2190</v>
      </c>
      <c r="F13" s="28"/>
      <c r="G13" s="28"/>
    </row>
    <row r="14" spans="1:10" s="18" customFormat="1" ht="31.5">
      <c r="A14" s="25" t="s">
        <v>28</v>
      </c>
      <c r="B14" s="26">
        <f>B15</f>
        <v>153.9</v>
      </c>
      <c r="C14" s="62" t="s">
        <v>31</v>
      </c>
      <c r="D14" s="26">
        <f>D15</f>
        <v>0</v>
      </c>
      <c r="E14" s="26">
        <f>E15</f>
        <v>153.9</v>
      </c>
      <c r="F14" s="26">
        <f t="shared" ref="F14:G14" si="2">F15</f>
        <v>0</v>
      </c>
      <c r="G14" s="26">
        <f t="shared" si="2"/>
        <v>0</v>
      </c>
    </row>
    <row r="15" spans="1:10" s="18" customFormat="1" ht="47.25">
      <c r="A15" s="27"/>
      <c r="B15" s="28">
        <f>B16+B17</f>
        <v>153.9</v>
      </c>
      <c r="C15" s="43" t="s">
        <v>136</v>
      </c>
      <c r="D15" s="43"/>
      <c r="E15" s="28">
        <f>E16+E17</f>
        <v>153.9</v>
      </c>
      <c r="F15" s="28"/>
      <c r="G15" s="28"/>
    </row>
    <row r="16" spans="1:10" s="100" customFormat="1">
      <c r="A16" s="95"/>
      <c r="B16" s="96">
        <v>46.2</v>
      </c>
      <c r="C16" s="97" t="s">
        <v>39</v>
      </c>
      <c r="D16" s="97"/>
      <c r="E16" s="96">
        <f>B16</f>
        <v>46.2</v>
      </c>
      <c r="F16" s="96"/>
      <c r="G16" s="98"/>
      <c r="H16" s="99"/>
      <c r="I16" s="99"/>
      <c r="J16" s="99"/>
    </row>
    <row r="17" spans="1:10" s="100" customFormat="1">
      <c r="A17" s="95"/>
      <c r="B17" s="96">
        <v>107.7</v>
      </c>
      <c r="C17" s="97" t="s">
        <v>40</v>
      </c>
      <c r="D17" s="97"/>
      <c r="E17" s="96">
        <f>B17</f>
        <v>107.7</v>
      </c>
      <c r="F17" s="96"/>
      <c r="G17" s="98"/>
      <c r="H17" s="99"/>
      <c r="I17" s="99"/>
      <c r="J17" s="99"/>
    </row>
    <row r="18" spans="1:10" s="23" customFormat="1" ht="52.5" customHeight="1">
      <c r="A18" s="35" t="s">
        <v>32</v>
      </c>
      <c r="B18" s="21">
        <f>B19+B22</f>
        <v>64605.2</v>
      </c>
      <c r="C18" s="44" t="s">
        <v>16</v>
      </c>
      <c r="D18" s="21">
        <f>D19+D22</f>
        <v>0</v>
      </c>
      <c r="E18" s="21">
        <f>E19+E22</f>
        <v>64605.2</v>
      </c>
      <c r="F18" s="21">
        <f t="shared" ref="F18:G18" si="3">F19+F22</f>
        <v>0</v>
      </c>
      <c r="G18" s="21">
        <f t="shared" si="3"/>
        <v>0</v>
      </c>
      <c r="H18" s="22"/>
      <c r="I18" s="22"/>
      <c r="J18" s="22"/>
    </row>
    <row r="19" spans="1:10" s="23" customFormat="1" ht="78.75">
      <c r="A19" s="36"/>
      <c r="B19" s="24">
        <f>B20+B21</f>
        <v>-8920.8000000000011</v>
      </c>
      <c r="C19" s="38" t="s">
        <v>169</v>
      </c>
      <c r="D19" s="38"/>
      <c r="E19" s="24">
        <f>E20+E21</f>
        <v>-8920.8000000000011</v>
      </c>
      <c r="F19" s="24"/>
      <c r="G19" s="24"/>
      <c r="H19" s="22"/>
      <c r="I19" s="22"/>
      <c r="J19" s="22"/>
    </row>
    <row r="20" spans="1:10" s="100" customFormat="1">
      <c r="A20" s="95"/>
      <c r="B20" s="96">
        <f>-347.2</f>
        <v>-347.2</v>
      </c>
      <c r="C20" s="97" t="s">
        <v>39</v>
      </c>
      <c r="D20" s="97"/>
      <c r="E20" s="96">
        <f>B20</f>
        <v>-347.2</v>
      </c>
      <c r="F20" s="96"/>
      <c r="G20" s="98"/>
      <c r="H20" s="99"/>
      <c r="I20" s="99"/>
      <c r="J20" s="99"/>
    </row>
    <row r="21" spans="1:10" s="100" customFormat="1">
      <c r="A21" s="95"/>
      <c r="B21" s="96">
        <v>-8573.6</v>
      </c>
      <c r="C21" s="97" t="s">
        <v>40</v>
      </c>
      <c r="D21" s="97"/>
      <c r="E21" s="96">
        <f>B21</f>
        <v>-8573.6</v>
      </c>
      <c r="F21" s="96"/>
      <c r="G21" s="98"/>
      <c r="H21" s="99"/>
      <c r="I21" s="99"/>
      <c r="J21" s="99"/>
    </row>
    <row r="22" spans="1:10" s="20" customFormat="1" ht="47.25">
      <c r="A22" s="35"/>
      <c r="B22" s="24">
        <v>73526</v>
      </c>
      <c r="C22" s="38" t="s">
        <v>38</v>
      </c>
      <c r="D22" s="38"/>
      <c r="E22" s="24">
        <f>B22</f>
        <v>73526</v>
      </c>
      <c r="F22" s="24"/>
      <c r="G22" s="21"/>
      <c r="H22" s="19"/>
      <c r="I22" s="19"/>
      <c r="J22" s="19"/>
    </row>
    <row r="23" spans="1:10" s="16" customFormat="1" ht="47.25">
      <c r="A23" s="35" t="s">
        <v>33</v>
      </c>
      <c r="B23" s="21">
        <f>SUM(B24:B25)</f>
        <v>12032.5</v>
      </c>
      <c r="C23" s="44" t="s">
        <v>20</v>
      </c>
      <c r="D23" s="21">
        <f>SUM(D24:D25)</f>
        <v>0</v>
      </c>
      <c r="E23" s="21">
        <f>SUM(E24:E25)</f>
        <v>12032.5</v>
      </c>
      <c r="F23" s="21">
        <f t="shared" ref="F23:G23" si="4">SUM(F24:F25)</f>
        <v>0</v>
      </c>
      <c r="G23" s="21">
        <f t="shared" si="4"/>
        <v>0</v>
      </c>
      <c r="H23" s="17"/>
      <c r="I23" s="17"/>
      <c r="J23" s="17"/>
    </row>
    <row r="24" spans="1:10" s="16" customFormat="1" ht="47.25">
      <c r="A24" s="36"/>
      <c r="B24" s="24">
        <v>10832.5</v>
      </c>
      <c r="C24" s="43" t="s">
        <v>141</v>
      </c>
      <c r="D24" s="43"/>
      <c r="E24" s="24">
        <f>B24</f>
        <v>10832.5</v>
      </c>
      <c r="F24" s="24"/>
      <c r="G24" s="86"/>
      <c r="H24" s="15"/>
    </row>
    <row r="25" spans="1:10" s="16" customFormat="1" ht="60.75" customHeight="1">
      <c r="A25" s="36"/>
      <c r="B25" s="24">
        <v>1200</v>
      </c>
      <c r="C25" s="43" t="s">
        <v>170</v>
      </c>
      <c r="D25" s="43"/>
      <c r="E25" s="24">
        <f>B25</f>
        <v>1200</v>
      </c>
      <c r="F25" s="24"/>
      <c r="G25" s="86"/>
      <c r="H25" s="15"/>
    </row>
    <row r="26" spans="1:10" s="18" customFormat="1" ht="47.25">
      <c r="A26" s="35" t="s">
        <v>67</v>
      </c>
      <c r="B26" s="21">
        <f>SUM(B27:B29)</f>
        <v>8696.5999999999985</v>
      </c>
      <c r="C26" s="44" t="s">
        <v>142</v>
      </c>
      <c r="D26" s="21">
        <f>SUM(D27:D29)</f>
        <v>0</v>
      </c>
      <c r="E26" s="21">
        <f>SUM(E27:E29)</f>
        <v>8696.5999999999985</v>
      </c>
      <c r="F26" s="21">
        <f t="shared" ref="F26:G26" si="5">SUM(F27:F29)</f>
        <v>0</v>
      </c>
      <c r="G26" s="21">
        <f t="shared" si="5"/>
        <v>0</v>
      </c>
    </row>
    <row r="27" spans="1:10" s="18" customFormat="1" ht="47.25">
      <c r="A27" s="36"/>
      <c r="B27" s="24">
        <v>7.2</v>
      </c>
      <c r="C27" s="43" t="s">
        <v>52</v>
      </c>
      <c r="D27" s="43"/>
      <c r="E27" s="24">
        <f>B27</f>
        <v>7.2</v>
      </c>
      <c r="F27" s="24"/>
      <c r="G27" s="86"/>
    </row>
    <row r="28" spans="1:10" s="18" customFormat="1" ht="31.5">
      <c r="A28" s="36"/>
      <c r="B28" s="24">
        <v>7154.4</v>
      </c>
      <c r="C28" s="43" t="s">
        <v>53</v>
      </c>
      <c r="D28" s="43"/>
      <c r="E28" s="28">
        <f>B28</f>
        <v>7154.4</v>
      </c>
      <c r="F28" s="28"/>
      <c r="G28" s="86"/>
    </row>
    <row r="29" spans="1:10" s="18" customFormat="1" ht="78.75">
      <c r="A29" s="36"/>
      <c r="B29" s="24">
        <v>1535</v>
      </c>
      <c r="C29" s="43" t="s">
        <v>212</v>
      </c>
      <c r="D29" s="43"/>
      <c r="E29" s="28">
        <f>B29</f>
        <v>1535</v>
      </c>
      <c r="F29" s="28"/>
      <c r="G29" s="86"/>
    </row>
    <row r="30" spans="1:10" s="18" customFormat="1" ht="63">
      <c r="A30" s="35" t="s">
        <v>70</v>
      </c>
      <c r="B30" s="21">
        <f>B31+B32</f>
        <v>0</v>
      </c>
      <c r="C30" s="47" t="s">
        <v>54</v>
      </c>
      <c r="D30" s="26">
        <f>SUM(D31:D32)</f>
        <v>0</v>
      </c>
      <c r="E30" s="26">
        <f>SUM(E31:E32)</f>
        <v>0</v>
      </c>
      <c r="F30" s="26">
        <f t="shared" ref="F30:G30" si="6">SUM(F31:F32)</f>
        <v>0</v>
      </c>
      <c r="G30" s="26">
        <f t="shared" si="6"/>
        <v>0</v>
      </c>
    </row>
    <row r="31" spans="1:10" s="18" customFormat="1" ht="31.5">
      <c r="A31" s="36"/>
      <c r="B31" s="24">
        <f>-2700.1</f>
        <v>-2700.1</v>
      </c>
      <c r="C31" s="43" t="s">
        <v>71</v>
      </c>
      <c r="D31" s="43"/>
      <c r="E31" s="28">
        <f>B31</f>
        <v>-2700.1</v>
      </c>
      <c r="F31" s="28"/>
      <c r="G31" s="86"/>
    </row>
    <row r="32" spans="1:10" s="18" customFormat="1" ht="47.25">
      <c r="A32" s="36"/>
      <c r="B32" s="24">
        <v>2700.1</v>
      </c>
      <c r="C32" s="43" t="s">
        <v>213</v>
      </c>
      <c r="D32" s="43"/>
      <c r="E32" s="28">
        <f>B32</f>
        <v>2700.1</v>
      </c>
      <c r="F32" s="28"/>
      <c r="G32" s="86"/>
    </row>
    <row r="33" spans="1:8" s="18" customFormat="1">
      <c r="A33" s="35" t="s">
        <v>1</v>
      </c>
      <c r="B33" s="21">
        <f>B34+B36+B41+B43</f>
        <v>80217.200000000012</v>
      </c>
      <c r="C33" s="83" t="s">
        <v>143</v>
      </c>
      <c r="D33" s="87">
        <f>D34+D36+D41+D43</f>
        <v>0</v>
      </c>
      <c r="E33" s="21">
        <f>E34+E36+E41+E43</f>
        <v>46643.8</v>
      </c>
      <c r="F33" s="21">
        <f t="shared" ref="F33:G33" si="7">F34+F36+F41+F43</f>
        <v>0</v>
      </c>
      <c r="G33" s="21">
        <f t="shared" si="7"/>
        <v>33573.4</v>
      </c>
    </row>
    <row r="34" spans="1:8" s="13" customFormat="1" ht="63">
      <c r="A34" s="35" t="s">
        <v>3</v>
      </c>
      <c r="B34" s="21">
        <f>B35</f>
        <v>23730.7</v>
      </c>
      <c r="C34" s="47" t="s">
        <v>54</v>
      </c>
      <c r="D34" s="21">
        <f>D35</f>
        <v>0</v>
      </c>
      <c r="E34" s="21">
        <f>E35</f>
        <v>23730.7</v>
      </c>
      <c r="F34" s="21">
        <f>F35</f>
        <v>0</v>
      </c>
      <c r="G34" s="21">
        <f>G35</f>
        <v>0</v>
      </c>
      <c r="H34" s="14"/>
    </row>
    <row r="35" spans="1:8" s="13" customFormat="1" ht="31.5">
      <c r="A35" s="36"/>
      <c r="B35" s="24">
        <f>4035.5+19695.2</f>
        <v>23730.7</v>
      </c>
      <c r="C35" s="45" t="s">
        <v>56</v>
      </c>
      <c r="D35" s="45"/>
      <c r="E35" s="24">
        <f>B35</f>
        <v>23730.7</v>
      </c>
      <c r="F35" s="24"/>
      <c r="G35" s="86"/>
    </row>
    <row r="36" spans="1:8" s="18" customFormat="1" ht="35.25" customHeight="1">
      <c r="A36" s="35" t="s">
        <v>95</v>
      </c>
      <c r="B36" s="21">
        <f>SUM(B37:B40)</f>
        <v>-1429.7</v>
      </c>
      <c r="C36" s="39" t="s">
        <v>18</v>
      </c>
      <c r="D36" s="21">
        <f>SUM(D37:D39)</f>
        <v>0</v>
      </c>
      <c r="E36" s="21">
        <f>SUM(E37:E40)</f>
        <v>-1429.7</v>
      </c>
      <c r="F36" s="21">
        <f t="shared" ref="F36:G36" si="8">SUM(F37:F39)</f>
        <v>0</v>
      </c>
      <c r="G36" s="21">
        <f t="shared" si="8"/>
        <v>0</v>
      </c>
    </row>
    <row r="37" spans="1:8" s="18" customFormat="1" ht="47.25">
      <c r="A37" s="36"/>
      <c r="B37" s="24">
        <v>595.6</v>
      </c>
      <c r="C37" s="46" t="s">
        <v>144</v>
      </c>
      <c r="D37" s="46"/>
      <c r="E37" s="24">
        <f>B37</f>
        <v>595.6</v>
      </c>
      <c r="F37" s="24"/>
      <c r="G37" s="86"/>
    </row>
    <row r="38" spans="1:8" s="18" customFormat="1" ht="31.5">
      <c r="A38" s="36"/>
      <c r="B38" s="24">
        <v>7.9</v>
      </c>
      <c r="C38" s="46" t="s">
        <v>55</v>
      </c>
      <c r="D38" s="46"/>
      <c r="E38" s="24">
        <f>B38</f>
        <v>7.9</v>
      </c>
      <c r="F38" s="24"/>
      <c r="G38" s="86"/>
    </row>
    <row r="39" spans="1:8" s="18" customFormat="1" ht="31.5">
      <c r="A39" s="36"/>
      <c r="B39" s="24">
        <v>-158.19999999999999</v>
      </c>
      <c r="C39" s="46" t="s">
        <v>171</v>
      </c>
      <c r="D39" s="46"/>
      <c r="E39" s="24">
        <f>B39</f>
        <v>-158.19999999999999</v>
      </c>
      <c r="F39" s="24"/>
      <c r="G39" s="86"/>
    </row>
    <row r="40" spans="1:8" s="18" customFormat="1" ht="110.25">
      <c r="A40" s="36"/>
      <c r="B40" s="24">
        <v>-1875</v>
      </c>
      <c r="C40" s="53" t="s">
        <v>168</v>
      </c>
      <c r="D40" s="46"/>
      <c r="E40" s="24">
        <f>B40</f>
        <v>-1875</v>
      </c>
      <c r="F40" s="24"/>
      <c r="G40" s="86"/>
    </row>
    <row r="41" spans="1:8" s="18" customFormat="1" ht="47.25">
      <c r="A41" s="35" t="s">
        <v>96</v>
      </c>
      <c r="B41" s="21">
        <f>B42</f>
        <v>24342.800000000003</v>
      </c>
      <c r="C41" s="44" t="s">
        <v>16</v>
      </c>
      <c r="D41" s="52">
        <f>D42</f>
        <v>0</v>
      </c>
      <c r="E41" s="21">
        <f>E42</f>
        <v>24342.800000000003</v>
      </c>
      <c r="F41" s="55">
        <f t="shared" ref="F41:G41" si="9">F42</f>
        <v>0</v>
      </c>
      <c r="G41" s="55">
        <f t="shared" si="9"/>
        <v>0</v>
      </c>
    </row>
    <row r="42" spans="1:8" s="18" customFormat="1" ht="63">
      <c r="A42" s="36"/>
      <c r="B42" s="24">
        <f>16852.7+7490.1</f>
        <v>24342.800000000003</v>
      </c>
      <c r="C42" s="48" t="s">
        <v>145</v>
      </c>
      <c r="D42" s="46"/>
      <c r="E42" s="24">
        <f>B42</f>
        <v>24342.800000000003</v>
      </c>
      <c r="F42" s="24"/>
      <c r="G42" s="86"/>
    </row>
    <row r="43" spans="1:8" s="18" customFormat="1" ht="31.5">
      <c r="A43" s="35" t="s">
        <v>97</v>
      </c>
      <c r="B43" s="21">
        <f>SUM(B44:B45)</f>
        <v>33573.4</v>
      </c>
      <c r="C43" s="84" t="s">
        <v>4</v>
      </c>
      <c r="D43" s="52">
        <f>SUM(D44:D45)</f>
        <v>0</v>
      </c>
      <c r="E43" s="54">
        <f>SUM(E44:E45)</f>
        <v>0</v>
      </c>
      <c r="F43" s="52">
        <f>SUM(F44:F45)</f>
        <v>0</v>
      </c>
      <c r="G43" s="21">
        <f>SUM(G44:G45)</f>
        <v>33573.4</v>
      </c>
    </row>
    <row r="44" spans="1:8" s="18" customFormat="1" ht="94.5">
      <c r="A44" s="36"/>
      <c r="B44" s="24">
        <v>32073.4</v>
      </c>
      <c r="C44" s="53" t="s">
        <v>137</v>
      </c>
      <c r="D44" s="46"/>
      <c r="E44" s="24"/>
      <c r="F44" s="24"/>
      <c r="G44" s="24">
        <f>B44</f>
        <v>32073.4</v>
      </c>
    </row>
    <row r="45" spans="1:8" s="18" customFormat="1" ht="82.5" customHeight="1">
      <c r="A45" s="36"/>
      <c r="B45" s="24">
        <v>1500</v>
      </c>
      <c r="C45" s="53" t="s">
        <v>172</v>
      </c>
      <c r="D45" s="46"/>
      <c r="E45" s="24"/>
      <c r="F45" s="24"/>
      <c r="G45" s="24">
        <f>B45</f>
        <v>1500</v>
      </c>
    </row>
    <row r="46" spans="1:8" s="18" customFormat="1">
      <c r="A46" s="25" t="s">
        <v>21</v>
      </c>
      <c r="B46" s="26">
        <f>B47+B49+B51+B53+B57</f>
        <v>5771.1</v>
      </c>
      <c r="C46" s="88" t="s">
        <v>146</v>
      </c>
      <c r="D46" s="26">
        <f t="shared" ref="D46:F46" si="10">D47+D49+D51+D53+D57</f>
        <v>0</v>
      </c>
      <c r="E46" s="26">
        <f t="shared" si="10"/>
        <v>3726</v>
      </c>
      <c r="F46" s="26">
        <f t="shared" si="10"/>
        <v>0</v>
      </c>
      <c r="G46" s="26">
        <f>G47+G49+G51+G53+G57</f>
        <v>2045.1</v>
      </c>
      <c r="H46" s="57"/>
    </row>
    <row r="47" spans="1:8" s="18" customFormat="1" ht="31.5">
      <c r="A47" s="25" t="s">
        <v>22</v>
      </c>
      <c r="B47" s="26">
        <f>B48</f>
        <v>1895.1</v>
      </c>
      <c r="C47" s="84" t="s">
        <v>4</v>
      </c>
      <c r="D47" s="26">
        <f t="shared" ref="D47:F47" si="11">D48</f>
        <v>0</v>
      </c>
      <c r="E47" s="26">
        <f t="shared" si="11"/>
        <v>0</v>
      </c>
      <c r="F47" s="26">
        <f t="shared" si="11"/>
        <v>0</v>
      </c>
      <c r="G47" s="26">
        <f>G48</f>
        <v>1895.1</v>
      </c>
      <c r="H47" s="41"/>
    </row>
    <row r="48" spans="1:8" s="18" customFormat="1" ht="183.75" customHeight="1">
      <c r="A48" s="27"/>
      <c r="B48" s="28">
        <f>200+145.8+171.3+218.5+300+100+109.5+200+150+300</f>
        <v>1895.1</v>
      </c>
      <c r="C48" s="72" t="s">
        <v>214</v>
      </c>
      <c r="D48" s="72"/>
      <c r="E48" s="28"/>
      <c r="F48" s="28"/>
      <c r="G48" s="28">
        <f>B48</f>
        <v>1895.1</v>
      </c>
    </row>
    <row r="49" spans="1:7" s="18" customFormat="1" ht="36.75" customHeight="1">
      <c r="A49" s="25" t="s">
        <v>23</v>
      </c>
      <c r="B49" s="26">
        <f>B50</f>
        <v>2496.1</v>
      </c>
      <c r="C49" s="85" t="s">
        <v>140</v>
      </c>
      <c r="D49" s="26">
        <f>D50</f>
        <v>0</v>
      </c>
      <c r="E49" s="26">
        <f>E50</f>
        <v>2496.1</v>
      </c>
      <c r="F49" s="26">
        <f t="shared" ref="F49:G49" si="12">F50</f>
        <v>0</v>
      </c>
      <c r="G49" s="26">
        <f t="shared" si="12"/>
        <v>0</v>
      </c>
    </row>
    <row r="50" spans="1:7" s="18" customFormat="1" ht="170.25" customHeight="1">
      <c r="A50" s="27"/>
      <c r="B50" s="28">
        <f>150+610+304.1+1182+250</f>
        <v>2496.1</v>
      </c>
      <c r="C50" s="72" t="s">
        <v>215</v>
      </c>
      <c r="D50" s="72"/>
      <c r="E50" s="28">
        <f>B50</f>
        <v>2496.1</v>
      </c>
      <c r="F50" s="28"/>
      <c r="G50" s="28"/>
    </row>
    <row r="51" spans="1:7" s="13" customFormat="1" ht="31.5">
      <c r="A51" s="25" t="s">
        <v>24</v>
      </c>
      <c r="B51" s="26">
        <f>B52</f>
        <v>191.3</v>
      </c>
      <c r="C51" s="62" t="s">
        <v>31</v>
      </c>
      <c r="D51" s="26">
        <f>D52</f>
        <v>0</v>
      </c>
      <c r="E51" s="26">
        <f>E52</f>
        <v>191.3</v>
      </c>
      <c r="F51" s="26">
        <f t="shared" ref="F51:G51" si="13">F52</f>
        <v>0</v>
      </c>
      <c r="G51" s="26">
        <f t="shared" si="13"/>
        <v>0</v>
      </c>
    </row>
    <row r="52" spans="1:7" s="13" customFormat="1" ht="110.25">
      <c r="A52" s="27"/>
      <c r="B52" s="28">
        <f>55+136.3</f>
        <v>191.3</v>
      </c>
      <c r="C52" s="72" t="s">
        <v>79</v>
      </c>
      <c r="D52" s="72"/>
      <c r="E52" s="28">
        <f>B52</f>
        <v>191.3</v>
      </c>
      <c r="F52" s="28"/>
      <c r="G52" s="28"/>
    </row>
    <row r="53" spans="1:7" s="18" customFormat="1" ht="31.5" customHeight="1">
      <c r="A53" s="25" t="s">
        <v>68</v>
      </c>
      <c r="B53" s="26">
        <f>B54+B55+B56</f>
        <v>228.6</v>
      </c>
      <c r="C53" s="39" t="s">
        <v>18</v>
      </c>
      <c r="D53" s="26">
        <f t="shared" ref="D53" si="14">D54</f>
        <v>0</v>
      </c>
      <c r="E53" s="26">
        <f>SUM(E54:E56)</f>
        <v>228.6</v>
      </c>
      <c r="F53" s="26">
        <f t="shared" ref="F53:G53" si="15">F54+F56</f>
        <v>0</v>
      </c>
      <c r="G53" s="26">
        <f t="shared" si="15"/>
        <v>0</v>
      </c>
    </row>
    <row r="54" spans="1:7" s="18" customFormat="1" ht="47.25">
      <c r="A54" s="27"/>
      <c r="B54" s="28">
        <v>72.7</v>
      </c>
      <c r="C54" s="72" t="s">
        <v>147</v>
      </c>
      <c r="D54" s="72"/>
      <c r="E54" s="28">
        <f>B54</f>
        <v>72.7</v>
      </c>
      <c r="F54" s="28"/>
      <c r="G54" s="28"/>
    </row>
    <row r="55" spans="1:7" s="18" customFormat="1" ht="63">
      <c r="A55" s="27"/>
      <c r="B55" s="28">
        <v>-44.1</v>
      </c>
      <c r="C55" s="56" t="s">
        <v>148</v>
      </c>
      <c r="D55" s="72"/>
      <c r="E55" s="28">
        <f>B55</f>
        <v>-44.1</v>
      </c>
      <c r="F55" s="28"/>
      <c r="G55" s="28"/>
    </row>
    <row r="56" spans="1:7" s="18" customFormat="1" ht="31.5">
      <c r="A56" s="27"/>
      <c r="B56" s="28">
        <v>200</v>
      </c>
      <c r="C56" s="72" t="s">
        <v>84</v>
      </c>
      <c r="D56" s="72"/>
      <c r="E56" s="28">
        <f>B56</f>
        <v>200</v>
      </c>
      <c r="F56" s="28"/>
      <c r="G56" s="28"/>
    </row>
    <row r="57" spans="1:7" s="13" customFormat="1" ht="47.25">
      <c r="A57" s="25" t="s">
        <v>85</v>
      </c>
      <c r="B57" s="26">
        <f>B58</f>
        <v>960</v>
      </c>
      <c r="C57" s="89" t="s">
        <v>76</v>
      </c>
      <c r="D57" s="26">
        <f>D58</f>
        <v>0</v>
      </c>
      <c r="E57" s="26">
        <f>E58</f>
        <v>810</v>
      </c>
      <c r="F57" s="26">
        <f t="shared" ref="F57:G57" si="16">F58</f>
        <v>0</v>
      </c>
      <c r="G57" s="26">
        <f t="shared" si="16"/>
        <v>150</v>
      </c>
    </row>
    <row r="58" spans="1:7" s="20" customFormat="1" ht="47.25">
      <c r="A58" s="27"/>
      <c r="B58" s="28">
        <f>D58+E58+F58+G58</f>
        <v>960</v>
      </c>
      <c r="C58" s="72" t="s">
        <v>86</v>
      </c>
      <c r="D58" s="72"/>
      <c r="E58" s="28">
        <v>810</v>
      </c>
      <c r="F58" s="28"/>
      <c r="G58" s="28">
        <v>150</v>
      </c>
    </row>
    <row r="59" spans="1:7" s="29" customFormat="1" ht="63">
      <c r="A59" s="25" t="s">
        <v>30</v>
      </c>
      <c r="B59" s="26">
        <f>B60+B62</f>
        <v>24743.5</v>
      </c>
      <c r="C59" s="65" t="s">
        <v>175</v>
      </c>
      <c r="D59" s="26">
        <f>D60+D62</f>
        <v>0</v>
      </c>
      <c r="E59" s="26">
        <f t="shared" ref="E59:G59" si="17">E60+E62</f>
        <v>24652</v>
      </c>
      <c r="F59" s="26">
        <f t="shared" si="17"/>
        <v>0</v>
      </c>
      <c r="G59" s="26">
        <f t="shared" si="17"/>
        <v>91.5</v>
      </c>
    </row>
    <row r="60" spans="1:7" s="29" customFormat="1" ht="31.5">
      <c r="A60" s="25" t="s">
        <v>173</v>
      </c>
      <c r="B60" s="26">
        <f>B61</f>
        <v>91.5</v>
      </c>
      <c r="C60" s="84" t="s">
        <v>4</v>
      </c>
      <c r="D60" s="26">
        <f>D61</f>
        <v>0</v>
      </c>
      <c r="E60" s="26">
        <f>E61</f>
        <v>0</v>
      </c>
      <c r="F60" s="26">
        <f t="shared" ref="F60:G60" si="18">F61</f>
        <v>0</v>
      </c>
      <c r="G60" s="26">
        <f t="shared" si="18"/>
        <v>91.5</v>
      </c>
    </row>
    <row r="61" spans="1:7" s="18" customFormat="1" ht="31.5">
      <c r="A61" s="27"/>
      <c r="B61" s="28">
        <v>91.5</v>
      </c>
      <c r="C61" s="32" t="s">
        <v>43</v>
      </c>
      <c r="D61" s="32"/>
      <c r="E61" s="28"/>
      <c r="F61" s="28"/>
      <c r="G61" s="28">
        <f>B61</f>
        <v>91.5</v>
      </c>
    </row>
    <row r="62" spans="1:7" s="105" customFormat="1" ht="47.25">
      <c r="A62" s="25" t="s">
        <v>174</v>
      </c>
      <c r="B62" s="26">
        <f>B63+B64</f>
        <v>24652</v>
      </c>
      <c r="C62" s="44" t="s">
        <v>20</v>
      </c>
      <c r="D62" s="26">
        <f>D63+D64</f>
        <v>0</v>
      </c>
      <c r="E62" s="26">
        <f>E63+E64</f>
        <v>24652</v>
      </c>
      <c r="F62" s="26">
        <f t="shared" ref="F62:G62" si="19">F63+F64</f>
        <v>0</v>
      </c>
      <c r="G62" s="26">
        <f t="shared" si="19"/>
        <v>0</v>
      </c>
    </row>
    <row r="63" spans="1:7" s="13" customFormat="1">
      <c r="A63" s="27"/>
      <c r="B63" s="28">
        <v>11206</v>
      </c>
      <c r="C63" s="33" t="s">
        <v>44</v>
      </c>
      <c r="D63" s="33"/>
      <c r="E63" s="28">
        <f>B63</f>
        <v>11206</v>
      </c>
      <c r="F63" s="28"/>
      <c r="G63" s="28"/>
    </row>
    <row r="64" spans="1:7" s="13" customFormat="1">
      <c r="A64" s="27"/>
      <c r="B64" s="28">
        <v>13446</v>
      </c>
      <c r="C64" s="34" t="s">
        <v>45</v>
      </c>
      <c r="D64" s="34"/>
      <c r="E64" s="28">
        <f>B64</f>
        <v>13446</v>
      </c>
      <c r="F64" s="28"/>
      <c r="G64" s="28"/>
    </row>
    <row r="65" spans="1:8" s="20" customFormat="1">
      <c r="A65" s="25" t="s">
        <v>63</v>
      </c>
      <c r="B65" s="26">
        <f>B66+B69+B82</f>
        <v>76599.800000000017</v>
      </c>
      <c r="C65" s="90" t="s">
        <v>149</v>
      </c>
      <c r="D65" s="26">
        <f>D66+D69+D82</f>
        <v>167.4</v>
      </c>
      <c r="E65" s="26">
        <f t="shared" ref="E65:G65" si="20">E66+E69+E82</f>
        <v>65119.700000000004</v>
      </c>
      <c r="F65" s="26">
        <f t="shared" si="20"/>
        <v>240.6</v>
      </c>
      <c r="G65" s="26">
        <f t="shared" si="20"/>
        <v>11072.1</v>
      </c>
    </row>
    <row r="66" spans="1:8" s="20" customFormat="1" ht="47.25">
      <c r="A66" s="75" t="s">
        <v>176</v>
      </c>
      <c r="B66" s="76">
        <f>B67</f>
        <v>12891.4</v>
      </c>
      <c r="C66" s="77" t="s">
        <v>128</v>
      </c>
      <c r="D66" s="76">
        <f>D67</f>
        <v>0</v>
      </c>
      <c r="E66" s="76">
        <f>E67</f>
        <v>12891.4</v>
      </c>
      <c r="F66" s="76">
        <f t="shared" ref="F66:G67" si="21">F67</f>
        <v>0</v>
      </c>
      <c r="G66" s="76">
        <f t="shared" si="21"/>
        <v>0</v>
      </c>
    </row>
    <row r="67" spans="1:8" s="104" customFormat="1" ht="31.5">
      <c r="A67" s="25" t="s">
        <v>177</v>
      </c>
      <c r="B67" s="26">
        <f>B68</f>
        <v>12891.4</v>
      </c>
      <c r="C67" s="62" t="s">
        <v>31</v>
      </c>
      <c r="D67" s="26">
        <f>D68</f>
        <v>0</v>
      </c>
      <c r="E67" s="26">
        <f>E68</f>
        <v>12891.4</v>
      </c>
      <c r="F67" s="26">
        <f t="shared" si="21"/>
        <v>0</v>
      </c>
      <c r="G67" s="26">
        <f t="shared" si="21"/>
        <v>0</v>
      </c>
      <c r="H67" s="103"/>
    </row>
    <row r="68" spans="1:8" s="58" customFormat="1" ht="63">
      <c r="A68" s="63"/>
      <c r="B68" s="64">
        <f>12891.4</f>
        <v>12891.4</v>
      </c>
      <c r="C68" s="91" t="s">
        <v>117</v>
      </c>
      <c r="D68" s="91"/>
      <c r="E68" s="64">
        <f>B68</f>
        <v>12891.4</v>
      </c>
      <c r="F68" s="64"/>
      <c r="G68" s="64"/>
    </row>
    <row r="69" spans="1:8" s="58" customFormat="1" ht="47.25">
      <c r="A69" s="75" t="s">
        <v>178</v>
      </c>
      <c r="B69" s="76">
        <f>B70+B75</f>
        <v>30854.800000000003</v>
      </c>
      <c r="C69" s="77" t="s">
        <v>72</v>
      </c>
      <c r="D69" s="76">
        <f>D70+D75</f>
        <v>167.4</v>
      </c>
      <c r="E69" s="76">
        <f t="shared" ref="E69:G69" si="22">E70+E75</f>
        <v>19374.7</v>
      </c>
      <c r="F69" s="76">
        <f t="shared" si="22"/>
        <v>240.6</v>
      </c>
      <c r="G69" s="76">
        <f t="shared" si="22"/>
        <v>11072.1</v>
      </c>
    </row>
    <row r="70" spans="1:8" s="58" customFormat="1">
      <c r="A70" s="27"/>
      <c r="B70" s="28">
        <v>2678</v>
      </c>
      <c r="C70" s="69" t="s">
        <v>123</v>
      </c>
      <c r="D70" s="28">
        <f>SUM(D71:D74)</f>
        <v>167.4</v>
      </c>
      <c r="E70" s="28">
        <f t="shared" ref="E70:G70" si="23">SUM(E71:E74)</f>
        <v>1972.3</v>
      </c>
      <c r="F70" s="28">
        <f t="shared" si="23"/>
        <v>240.6</v>
      </c>
      <c r="G70" s="28">
        <f t="shared" si="23"/>
        <v>297.7</v>
      </c>
    </row>
    <row r="71" spans="1:8" s="74" customFormat="1">
      <c r="A71" s="25" t="s">
        <v>179</v>
      </c>
      <c r="B71" s="26">
        <v>167.4</v>
      </c>
      <c r="C71" s="51" t="s">
        <v>29</v>
      </c>
      <c r="D71" s="26">
        <f>B71</f>
        <v>167.4</v>
      </c>
      <c r="E71" s="26"/>
      <c r="F71" s="26"/>
      <c r="G71" s="26"/>
    </row>
    <row r="72" spans="1:8" s="74" customFormat="1" ht="36.75" customHeight="1">
      <c r="A72" s="25" t="s">
        <v>180</v>
      </c>
      <c r="B72" s="26">
        <v>1972.3</v>
      </c>
      <c r="C72" s="39" t="s">
        <v>18</v>
      </c>
      <c r="D72" s="26"/>
      <c r="E72" s="26">
        <f>B72</f>
        <v>1972.3</v>
      </c>
      <c r="F72" s="26"/>
      <c r="G72" s="26"/>
    </row>
    <row r="73" spans="1:8" s="74" customFormat="1" ht="31.5">
      <c r="A73" s="25" t="s">
        <v>181</v>
      </c>
      <c r="B73" s="26">
        <v>240.6</v>
      </c>
      <c r="C73" s="51" t="s">
        <v>121</v>
      </c>
      <c r="D73" s="26"/>
      <c r="E73" s="26"/>
      <c r="F73" s="26">
        <f>B73</f>
        <v>240.6</v>
      </c>
      <c r="G73" s="26"/>
    </row>
    <row r="74" spans="1:8" s="74" customFormat="1" ht="31.5">
      <c r="A74" s="25" t="s">
        <v>182</v>
      </c>
      <c r="B74" s="26">
        <v>297.7</v>
      </c>
      <c r="C74" s="84" t="s">
        <v>4</v>
      </c>
      <c r="D74" s="26"/>
      <c r="E74" s="26"/>
      <c r="F74" s="26"/>
      <c r="G74" s="26">
        <f>B74</f>
        <v>297.7</v>
      </c>
    </row>
    <row r="75" spans="1:8" s="58" customFormat="1" ht="110.25">
      <c r="A75" s="27"/>
      <c r="B75" s="28">
        <f>B76+B78+B80</f>
        <v>28176.800000000003</v>
      </c>
      <c r="C75" s="48" t="s">
        <v>74</v>
      </c>
      <c r="D75" s="28">
        <f>D76+D78+D80</f>
        <v>0</v>
      </c>
      <c r="E75" s="28">
        <f t="shared" ref="E75:G75" si="24">E76+E78+E80</f>
        <v>17402.400000000001</v>
      </c>
      <c r="F75" s="28">
        <f t="shared" si="24"/>
        <v>0</v>
      </c>
      <c r="G75" s="28">
        <f t="shared" si="24"/>
        <v>10774.4</v>
      </c>
    </row>
    <row r="76" spans="1:8" s="74" customFormat="1" ht="31.5">
      <c r="A76" s="25" t="s">
        <v>183</v>
      </c>
      <c r="B76" s="26">
        <f>B77</f>
        <v>25239.9</v>
      </c>
      <c r="C76" s="84" t="s">
        <v>4</v>
      </c>
      <c r="D76" s="26">
        <f>D77</f>
        <v>0</v>
      </c>
      <c r="E76" s="26">
        <f>E77</f>
        <v>14465.5</v>
      </c>
      <c r="F76" s="26">
        <f t="shared" ref="F76:G76" si="25">F77</f>
        <v>0</v>
      </c>
      <c r="G76" s="26">
        <f t="shared" si="25"/>
        <v>10774.4</v>
      </c>
    </row>
    <row r="77" spans="1:8" s="58" customFormat="1" ht="63">
      <c r="A77" s="27"/>
      <c r="B77" s="28">
        <v>25239.9</v>
      </c>
      <c r="C77" s="48" t="s">
        <v>125</v>
      </c>
      <c r="D77" s="48"/>
      <c r="E77" s="28">
        <v>14465.5</v>
      </c>
      <c r="F77" s="28"/>
      <c r="G77" s="28">
        <v>10774.4</v>
      </c>
    </row>
    <row r="78" spans="1:8" s="74" customFormat="1" ht="31.5">
      <c r="A78" s="25" t="s">
        <v>184</v>
      </c>
      <c r="B78" s="26">
        <f>B79</f>
        <v>1964.7</v>
      </c>
      <c r="C78" s="51" t="s">
        <v>59</v>
      </c>
      <c r="D78" s="26">
        <f>D79</f>
        <v>0</v>
      </c>
      <c r="E78" s="26">
        <f>E79</f>
        <v>1964.7</v>
      </c>
      <c r="F78" s="26">
        <f t="shared" ref="F78:G78" si="26">F79</f>
        <v>0</v>
      </c>
      <c r="G78" s="26">
        <f t="shared" si="26"/>
        <v>0</v>
      </c>
    </row>
    <row r="79" spans="1:8" s="58" customFormat="1">
      <c r="A79" s="27"/>
      <c r="B79" s="28">
        <v>1964.7</v>
      </c>
      <c r="C79" s="48" t="s">
        <v>151</v>
      </c>
      <c r="D79" s="48"/>
      <c r="E79" s="28">
        <f>B78</f>
        <v>1964.7</v>
      </c>
      <c r="F79" s="28"/>
      <c r="G79" s="28"/>
    </row>
    <row r="80" spans="1:8" s="74" customFormat="1">
      <c r="A80" s="25" t="s">
        <v>185</v>
      </c>
      <c r="B80" s="26">
        <f>B81</f>
        <v>972.2</v>
      </c>
      <c r="C80" s="51" t="s">
        <v>29</v>
      </c>
      <c r="D80" s="26">
        <f>D81</f>
        <v>0</v>
      </c>
      <c r="E80" s="26">
        <f>E81</f>
        <v>972.2</v>
      </c>
      <c r="F80" s="26">
        <f t="shared" ref="F80:G80" si="27">F81</f>
        <v>0</v>
      </c>
      <c r="G80" s="26">
        <f t="shared" si="27"/>
        <v>0</v>
      </c>
    </row>
    <row r="81" spans="1:9" s="58" customFormat="1" ht="78.75">
      <c r="A81" s="27"/>
      <c r="B81" s="28">
        <f>519.2+453</f>
        <v>972.2</v>
      </c>
      <c r="C81" s="48" t="s">
        <v>150</v>
      </c>
      <c r="D81" s="48"/>
      <c r="E81" s="28">
        <f>B81</f>
        <v>972.2</v>
      </c>
      <c r="F81" s="28"/>
      <c r="G81" s="28"/>
    </row>
    <row r="82" spans="1:9" s="104" customFormat="1" ht="147.75" customHeight="1">
      <c r="A82" s="75" t="s">
        <v>186</v>
      </c>
      <c r="B82" s="76">
        <f>B83+B88+B105+B109+B111+B113+B115+B118</f>
        <v>32853.600000000006</v>
      </c>
      <c r="C82" s="101" t="s">
        <v>217</v>
      </c>
      <c r="D82" s="101"/>
      <c r="E82" s="76">
        <f>B82</f>
        <v>32853.600000000006</v>
      </c>
      <c r="F82" s="76"/>
      <c r="G82" s="76"/>
      <c r="H82" s="102"/>
      <c r="I82" s="103"/>
    </row>
    <row r="83" spans="1:9" s="20" customFormat="1" ht="47.25">
      <c r="A83" s="25" t="s">
        <v>188</v>
      </c>
      <c r="B83" s="26">
        <f>SUM(B84:B87)</f>
        <v>13122.599999999999</v>
      </c>
      <c r="C83" s="44" t="s">
        <v>20</v>
      </c>
      <c r="D83" s="26">
        <f>SUM(D84:D87)</f>
        <v>0</v>
      </c>
      <c r="E83" s="26">
        <f>SUM(E84:E87)</f>
        <v>13122.599999999999</v>
      </c>
      <c r="F83" s="26">
        <f t="shared" ref="F83:G83" si="28">SUM(F84:F87)</f>
        <v>0</v>
      </c>
      <c r="G83" s="26">
        <f t="shared" si="28"/>
        <v>0</v>
      </c>
      <c r="H83" s="67"/>
      <c r="I83" s="19"/>
    </row>
    <row r="84" spans="1:9" s="20" customFormat="1" ht="47.25">
      <c r="A84" s="27"/>
      <c r="B84" s="28">
        <v>9106.2999999999993</v>
      </c>
      <c r="C84" s="66" t="s">
        <v>152</v>
      </c>
      <c r="D84" s="66"/>
      <c r="E84" s="28">
        <f>B84</f>
        <v>9106.2999999999993</v>
      </c>
      <c r="F84" s="28"/>
      <c r="G84" s="28"/>
    </row>
    <row r="85" spans="1:9" s="20" customFormat="1" ht="47.25">
      <c r="A85" s="27"/>
      <c r="B85" s="28">
        <v>1318.7</v>
      </c>
      <c r="C85" s="66" t="s">
        <v>153</v>
      </c>
      <c r="D85" s="66"/>
      <c r="E85" s="28">
        <f>B85</f>
        <v>1318.7</v>
      </c>
      <c r="F85" s="28"/>
      <c r="G85" s="28"/>
    </row>
    <row r="86" spans="1:9" s="20" customFormat="1" ht="31.5">
      <c r="A86" s="27"/>
      <c r="B86" s="28">
        <f>285.2+301.3+264+1182.3</f>
        <v>2032.8</v>
      </c>
      <c r="C86" s="66" t="s">
        <v>154</v>
      </c>
      <c r="D86" s="66"/>
      <c r="E86" s="28">
        <f>B86</f>
        <v>2032.8</v>
      </c>
      <c r="F86" s="28"/>
      <c r="G86" s="28"/>
    </row>
    <row r="87" spans="1:9" s="20" customFormat="1">
      <c r="A87" s="27"/>
      <c r="B87" s="28">
        <v>664.8</v>
      </c>
      <c r="C87" s="66" t="s">
        <v>187</v>
      </c>
      <c r="D87" s="66"/>
      <c r="E87" s="28">
        <f>B87</f>
        <v>664.8</v>
      </c>
      <c r="F87" s="28"/>
      <c r="G87" s="28"/>
    </row>
    <row r="88" spans="1:9" s="20" customFormat="1" ht="47.25">
      <c r="A88" s="25" t="s">
        <v>189</v>
      </c>
      <c r="B88" s="26">
        <f>SUM(B89:B104)</f>
        <v>11495.4</v>
      </c>
      <c r="C88" s="44" t="s">
        <v>142</v>
      </c>
      <c r="D88" s="26">
        <f>SUM(D89:D104)</f>
        <v>0</v>
      </c>
      <c r="E88" s="26">
        <f>SUM(E89:E104)</f>
        <v>11495.4</v>
      </c>
      <c r="F88" s="26">
        <f t="shared" ref="F88:G88" si="29">SUM(F89:F104)</f>
        <v>0</v>
      </c>
      <c r="G88" s="26">
        <f t="shared" si="29"/>
        <v>0</v>
      </c>
    </row>
    <row r="89" spans="1:9" s="20" customFormat="1" ht="31.5">
      <c r="A89" s="27"/>
      <c r="B89" s="28">
        <f>246+458.1+3163.9</f>
        <v>3868</v>
      </c>
      <c r="C89" s="68" t="s">
        <v>156</v>
      </c>
      <c r="D89" s="66"/>
      <c r="E89" s="28">
        <f t="shared" ref="E89:E104" si="30">B89</f>
        <v>3868</v>
      </c>
      <c r="F89" s="28"/>
      <c r="G89" s="28"/>
    </row>
    <row r="90" spans="1:9" s="20" customFormat="1" ht="31.5">
      <c r="A90" s="27"/>
      <c r="B90" s="28">
        <v>617.4</v>
      </c>
      <c r="C90" s="66" t="s">
        <v>131</v>
      </c>
      <c r="D90" s="66"/>
      <c r="E90" s="28">
        <f t="shared" si="30"/>
        <v>617.4</v>
      </c>
      <c r="F90" s="28"/>
      <c r="G90" s="28"/>
    </row>
    <row r="91" spans="1:9" s="20" customFormat="1" ht="31.5">
      <c r="A91" s="27"/>
      <c r="B91" s="28">
        <v>537</v>
      </c>
      <c r="C91" s="69" t="s">
        <v>102</v>
      </c>
      <c r="D91" s="66"/>
      <c r="E91" s="28">
        <f t="shared" si="30"/>
        <v>537</v>
      </c>
      <c r="F91" s="28"/>
      <c r="G91" s="28"/>
    </row>
    <row r="92" spans="1:9" s="20" customFormat="1">
      <c r="A92" s="27"/>
      <c r="B92" s="28">
        <v>794.9</v>
      </c>
      <c r="C92" s="48" t="s">
        <v>130</v>
      </c>
      <c r="D92" s="66"/>
      <c r="E92" s="28">
        <f t="shared" si="30"/>
        <v>794.9</v>
      </c>
      <c r="F92" s="28"/>
      <c r="G92" s="28"/>
    </row>
    <row r="93" spans="1:9" s="20" customFormat="1" ht="78.75">
      <c r="A93" s="27"/>
      <c r="B93" s="28">
        <v>419.5</v>
      </c>
      <c r="C93" s="48" t="s">
        <v>211</v>
      </c>
      <c r="D93" s="66"/>
      <c r="E93" s="28">
        <f t="shared" si="30"/>
        <v>419.5</v>
      </c>
      <c r="F93" s="28"/>
      <c r="G93" s="28"/>
    </row>
    <row r="94" spans="1:9" s="20" customFormat="1" ht="47.25">
      <c r="A94" s="27"/>
      <c r="B94" s="28">
        <v>629.29999999999995</v>
      </c>
      <c r="C94" s="68" t="s">
        <v>216</v>
      </c>
      <c r="D94" s="48"/>
      <c r="E94" s="28">
        <f t="shared" si="30"/>
        <v>629.29999999999995</v>
      </c>
      <c r="F94" s="28"/>
      <c r="G94" s="28"/>
    </row>
    <row r="95" spans="1:9" s="20" customFormat="1" ht="47.25">
      <c r="A95" s="27"/>
      <c r="B95" s="28">
        <v>162.9</v>
      </c>
      <c r="C95" s="68" t="s">
        <v>87</v>
      </c>
      <c r="D95" s="48"/>
      <c r="E95" s="28">
        <f t="shared" si="30"/>
        <v>162.9</v>
      </c>
      <c r="F95" s="28"/>
      <c r="G95" s="28"/>
    </row>
    <row r="96" spans="1:9" s="20" customFormat="1" ht="31.5">
      <c r="A96" s="27"/>
      <c r="B96" s="28">
        <v>52.5</v>
      </c>
      <c r="C96" s="48" t="s">
        <v>155</v>
      </c>
      <c r="D96" s="48"/>
      <c r="E96" s="28">
        <f t="shared" si="30"/>
        <v>52.5</v>
      </c>
      <c r="F96" s="28"/>
      <c r="G96" s="28"/>
    </row>
    <row r="97" spans="1:7" s="20" customFormat="1">
      <c r="A97" s="27"/>
      <c r="B97" s="28">
        <v>176.4</v>
      </c>
      <c r="C97" s="70" t="s">
        <v>103</v>
      </c>
      <c r="D97" s="48"/>
      <c r="E97" s="28">
        <f t="shared" si="30"/>
        <v>176.4</v>
      </c>
      <c r="F97" s="28"/>
      <c r="G97" s="28"/>
    </row>
    <row r="98" spans="1:7" s="20" customFormat="1">
      <c r="A98" s="27"/>
      <c r="B98" s="28">
        <v>1722.8</v>
      </c>
      <c r="C98" s="70" t="s">
        <v>93</v>
      </c>
      <c r="D98" s="48"/>
      <c r="E98" s="28">
        <f t="shared" si="30"/>
        <v>1722.8</v>
      </c>
      <c r="F98" s="28"/>
      <c r="G98" s="28"/>
    </row>
    <row r="99" spans="1:7" s="20" customFormat="1" ht="31.5">
      <c r="A99" s="27"/>
      <c r="B99" s="28">
        <v>882</v>
      </c>
      <c r="C99" s="69" t="s">
        <v>104</v>
      </c>
      <c r="D99" s="48"/>
      <c r="E99" s="28">
        <f t="shared" si="30"/>
        <v>882</v>
      </c>
      <c r="F99" s="28"/>
      <c r="G99" s="28"/>
    </row>
    <row r="100" spans="1:7" s="20" customFormat="1">
      <c r="A100" s="27"/>
      <c r="B100" s="28">
        <v>232</v>
      </c>
      <c r="C100" s="69" t="s">
        <v>105</v>
      </c>
      <c r="D100" s="48"/>
      <c r="E100" s="28">
        <f t="shared" si="30"/>
        <v>232</v>
      </c>
      <c r="F100" s="28"/>
      <c r="G100" s="28"/>
    </row>
    <row r="101" spans="1:7" s="20" customFormat="1" ht="78.75">
      <c r="A101" s="27"/>
      <c r="B101" s="28">
        <f>174.9+583.5</f>
        <v>758.4</v>
      </c>
      <c r="C101" s="60" t="s">
        <v>122</v>
      </c>
      <c r="D101" s="48"/>
      <c r="E101" s="28">
        <f t="shared" si="30"/>
        <v>758.4</v>
      </c>
      <c r="F101" s="28"/>
      <c r="G101" s="28"/>
    </row>
    <row r="102" spans="1:7" s="20" customFormat="1" ht="31.5">
      <c r="A102" s="27"/>
      <c r="B102" s="28">
        <v>340.6</v>
      </c>
      <c r="C102" s="69" t="s">
        <v>118</v>
      </c>
      <c r="D102" s="48"/>
      <c r="E102" s="28">
        <f t="shared" si="30"/>
        <v>340.6</v>
      </c>
      <c r="F102" s="28"/>
      <c r="G102" s="28"/>
    </row>
    <row r="103" spans="1:7" s="20" customFormat="1">
      <c r="A103" s="27"/>
      <c r="B103" s="28">
        <v>78.599999999999994</v>
      </c>
      <c r="C103" s="69" t="s">
        <v>119</v>
      </c>
      <c r="D103" s="48"/>
      <c r="E103" s="28">
        <f t="shared" si="30"/>
        <v>78.599999999999994</v>
      </c>
      <c r="F103" s="28"/>
      <c r="G103" s="28"/>
    </row>
    <row r="104" spans="1:7" s="20" customFormat="1" ht="47.25">
      <c r="A104" s="27"/>
      <c r="B104" s="28">
        <v>223.1</v>
      </c>
      <c r="C104" s="60" t="s">
        <v>58</v>
      </c>
      <c r="D104" s="48"/>
      <c r="E104" s="28">
        <f t="shared" si="30"/>
        <v>223.1</v>
      </c>
      <c r="F104" s="28"/>
      <c r="G104" s="28"/>
    </row>
    <row r="105" spans="1:7" s="20" customFormat="1" ht="30" customHeight="1">
      <c r="A105" s="25" t="s">
        <v>190</v>
      </c>
      <c r="B105" s="26">
        <f>SUM(B106:B108)</f>
        <v>2649.7</v>
      </c>
      <c r="C105" s="39" t="s">
        <v>18</v>
      </c>
      <c r="D105" s="26">
        <f>SUM(D106:D108)</f>
        <v>0</v>
      </c>
      <c r="E105" s="26">
        <f>SUM(E106:E108)</f>
        <v>2649.7</v>
      </c>
      <c r="F105" s="26">
        <f t="shared" ref="F105:G105" si="31">SUM(F106:F108)</f>
        <v>0</v>
      </c>
      <c r="G105" s="26">
        <f t="shared" si="31"/>
        <v>0</v>
      </c>
    </row>
    <row r="106" spans="1:7" s="20" customFormat="1">
      <c r="A106" s="27"/>
      <c r="B106" s="28">
        <v>638</v>
      </c>
      <c r="C106" s="48" t="s">
        <v>89</v>
      </c>
      <c r="D106" s="48"/>
      <c r="E106" s="28">
        <f>B106</f>
        <v>638</v>
      </c>
      <c r="F106" s="28"/>
      <c r="G106" s="28"/>
    </row>
    <row r="107" spans="1:7" s="20" customFormat="1" ht="63">
      <c r="A107" s="27"/>
      <c r="B107" s="28">
        <f>1945.7+37</f>
        <v>1982.7</v>
      </c>
      <c r="C107" s="71" t="s">
        <v>195</v>
      </c>
      <c r="D107" s="48"/>
      <c r="E107" s="28">
        <f t="shared" ref="E107:E108" si="32">B107</f>
        <v>1982.7</v>
      </c>
      <c r="F107" s="28"/>
      <c r="G107" s="28"/>
    </row>
    <row r="108" spans="1:7" s="20" customFormat="1" ht="30">
      <c r="A108" s="27"/>
      <c r="B108" s="28">
        <v>29</v>
      </c>
      <c r="C108" s="59" t="s">
        <v>60</v>
      </c>
      <c r="D108" s="48"/>
      <c r="E108" s="28">
        <f t="shared" si="32"/>
        <v>29</v>
      </c>
      <c r="F108" s="28"/>
      <c r="G108" s="28"/>
    </row>
    <row r="109" spans="1:7" s="20" customFormat="1" ht="47.25">
      <c r="A109" s="25" t="s">
        <v>191</v>
      </c>
      <c r="B109" s="26">
        <f>B110</f>
        <v>100.5</v>
      </c>
      <c r="C109" s="39" t="s">
        <v>46</v>
      </c>
      <c r="D109" s="26">
        <f>D110</f>
        <v>0</v>
      </c>
      <c r="E109" s="26">
        <f>E110</f>
        <v>100.5</v>
      </c>
      <c r="F109" s="26">
        <f>F110</f>
        <v>0</v>
      </c>
      <c r="G109" s="26">
        <f t="shared" ref="G109" si="33">D109</f>
        <v>0</v>
      </c>
    </row>
    <row r="110" spans="1:7" s="20" customFormat="1" ht="31.5">
      <c r="A110" s="27"/>
      <c r="B110" s="28">
        <v>100.5</v>
      </c>
      <c r="C110" s="48" t="s">
        <v>88</v>
      </c>
      <c r="D110" s="48"/>
      <c r="E110" s="28">
        <f>B110</f>
        <v>100.5</v>
      </c>
      <c r="F110" s="28"/>
      <c r="G110" s="28"/>
    </row>
    <row r="111" spans="1:7" s="20" customFormat="1" ht="47.25">
      <c r="A111" s="25" t="s">
        <v>192</v>
      </c>
      <c r="B111" s="26">
        <f>B112</f>
        <v>133.5</v>
      </c>
      <c r="C111" s="51" t="s">
        <v>82</v>
      </c>
      <c r="D111" s="26">
        <f>D112</f>
        <v>0</v>
      </c>
      <c r="E111" s="26">
        <f>E112</f>
        <v>133.5</v>
      </c>
      <c r="F111" s="26">
        <f t="shared" ref="F111:G111" si="34">F112</f>
        <v>0</v>
      </c>
      <c r="G111" s="26">
        <f t="shared" si="34"/>
        <v>0</v>
      </c>
    </row>
    <row r="112" spans="1:7" s="20" customFormat="1">
      <c r="A112" s="27"/>
      <c r="B112" s="28">
        <v>133.5</v>
      </c>
      <c r="C112" s="48" t="s">
        <v>90</v>
      </c>
      <c r="D112" s="48"/>
      <c r="E112" s="28">
        <f>B112</f>
        <v>133.5</v>
      </c>
      <c r="F112" s="28"/>
      <c r="G112" s="28"/>
    </row>
    <row r="113" spans="1:8" s="20" customFormat="1" ht="63">
      <c r="A113" s="25" t="s">
        <v>193</v>
      </c>
      <c r="B113" s="26">
        <f>B114</f>
        <v>50</v>
      </c>
      <c r="C113" s="47" t="s">
        <v>54</v>
      </c>
      <c r="D113" s="26">
        <f>D114</f>
        <v>0</v>
      </c>
      <c r="E113" s="26">
        <f>E114</f>
        <v>50</v>
      </c>
      <c r="F113" s="26">
        <f t="shared" ref="F113:G113" si="35">F114</f>
        <v>0</v>
      </c>
      <c r="G113" s="26">
        <f t="shared" si="35"/>
        <v>0</v>
      </c>
    </row>
    <row r="114" spans="1:8" s="20" customFormat="1" ht="31.5">
      <c r="A114" s="27"/>
      <c r="B114" s="28">
        <v>50</v>
      </c>
      <c r="C114" s="48" t="s">
        <v>92</v>
      </c>
      <c r="D114" s="48"/>
      <c r="E114" s="28">
        <f>B114</f>
        <v>50</v>
      </c>
      <c r="F114" s="28"/>
      <c r="G114" s="28"/>
    </row>
    <row r="115" spans="1:8" s="20" customFormat="1" ht="63">
      <c r="A115" s="25" t="s">
        <v>194</v>
      </c>
      <c r="B115" s="26">
        <f>B116+B117</f>
        <v>597.9</v>
      </c>
      <c r="C115" s="51" t="s">
        <v>17</v>
      </c>
      <c r="D115" s="26">
        <f>D116+D117</f>
        <v>0</v>
      </c>
      <c r="E115" s="26">
        <f>E116+E117</f>
        <v>597.9</v>
      </c>
      <c r="F115" s="26">
        <f t="shared" ref="F115:G115" si="36">F116+F117</f>
        <v>0</v>
      </c>
      <c r="G115" s="26">
        <f t="shared" si="36"/>
        <v>0</v>
      </c>
    </row>
    <row r="116" spans="1:8" s="20" customFormat="1" ht="31.5">
      <c r="A116" s="27"/>
      <c r="B116" s="28">
        <v>234</v>
      </c>
      <c r="C116" s="69" t="s">
        <v>99</v>
      </c>
      <c r="D116" s="48"/>
      <c r="E116" s="28">
        <f>B116</f>
        <v>234</v>
      </c>
      <c r="F116" s="28"/>
      <c r="G116" s="28"/>
    </row>
    <row r="117" spans="1:8" s="20" customFormat="1" ht="31.5">
      <c r="A117" s="27"/>
      <c r="B117" s="28">
        <v>363.9</v>
      </c>
      <c r="C117" s="69" t="s">
        <v>100</v>
      </c>
      <c r="D117" s="48"/>
      <c r="E117" s="28">
        <f>B117</f>
        <v>363.9</v>
      </c>
      <c r="F117" s="28"/>
      <c r="G117" s="28"/>
    </row>
    <row r="118" spans="1:8" s="20" customFormat="1" ht="31.5">
      <c r="A118" s="25" t="s">
        <v>196</v>
      </c>
      <c r="B118" s="26">
        <f>SUM(B119:B120)</f>
        <v>4704</v>
      </c>
      <c r="C118" s="51" t="s">
        <v>59</v>
      </c>
      <c r="D118" s="26">
        <f>SUM(D119:D120)</f>
        <v>0</v>
      </c>
      <c r="E118" s="26">
        <f>SUM(E119:E120)</f>
        <v>4704</v>
      </c>
      <c r="F118" s="26">
        <f t="shared" ref="F118:G118" si="37">SUM(F119:F120)</f>
        <v>0</v>
      </c>
      <c r="G118" s="26">
        <f t="shared" si="37"/>
        <v>0</v>
      </c>
    </row>
    <row r="119" spans="1:8" s="20" customFormat="1" ht="31.5">
      <c r="A119" s="27"/>
      <c r="B119" s="28">
        <f>5632.4-968.4</f>
        <v>4664</v>
      </c>
      <c r="C119" s="69" t="s">
        <v>101</v>
      </c>
      <c r="D119" s="48"/>
      <c r="E119" s="28">
        <f>B119</f>
        <v>4664</v>
      </c>
      <c r="F119" s="28"/>
      <c r="G119" s="28"/>
    </row>
    <row r="120" spans="1:8" s="20" customFormat="1" ht="31.5">
      <c r="A120" s="27"/>
      <c r="B120" s="28">
        <v>40</v>
      </c>
      <c r="C120" s="69" t="s">
        <v>94</v>
      </c>
      <c r="D120" s="48"/>
      <c r="E120" s="28">
        <f>B120</f>
        <v>40</v>
      </c>
      <c r="F120" s="28"/>
      <c r="G120" s="28"/>
    </row>
    <row r="121" spans="1:8" s="13" customFormat="1">
      <c r="A121" s="25" t="s">
        <v>64</v>
      </c>
      <c r="B121" s="26">
        <f>B122+B127+B141+B145+B154+B164+B167+B170+B174+B178+B181+B183+B186+B188+B190</f>
        <v>-7185.8999999999978</v>
      </c>
      <c r="C121" s="88" t="s">
        <v>15</v>
      </c>
      <c r="D121" s="26">
        <f>D122+D127+D141+D145+D154+D164+D167+D170+D174+D178+D181+D183+D186+D188+D190</f>
        <v>0</v>
      </c>
      <c r="E121" s="26">
        <f>E122+E127+E141+E145+E154+E164+E167+E170+E174+E178+E181+E183+E186+E188+E190</f>
        <v>-5340.8999999999969</v>
      </c>
      <c r="F121" s="26">
        <f>F122+F127+F141+F145+F154+F164+F167+F170+F174+F178+F181+F183+F186+F188+F190</f>
        <v>-4881.8999999999996</v>
      </c>
      <c r="G121" s="26">
        <f>G122+G127+G141+G145+G154+G164+G167+G170+G174+G178+G181+G183+G186+G188+G190</f>
        <v>3036.8999999999996</v>
      </c>
    </row>
    <row r="122" spans="1:8" s="20" customFormat="1" ht="31.5">
      <c r="A122" s="25" t="s">
        <v>98</v>
      </c>
      <c r="B122" s="26">
        <f>SUM(B123:B126)</f>
        <v>-5566.3999999999987</v>
      </c>
      <c r="C122" s="84" t="s">
        <v>4</v>
      </c>
      <c r="D122" s="26">
        <f>SUM(D123:D126)</f>
        <v>0</v>
      </c>
      <c r="E122" s="26">
        <f>SUM(E123:E126)</f>
        <v>-6698.5999999999985</v>
      </c>
      <c r="F122" s="26">
        <f>SUM(F123:F126)</f>
        <v>0</v>
      </c>
      <c r="G122" s="26">
        <f>SUM(G123:G126)</f>
        <v>1132.1999999999998</v>
      </c>
    </row>
    <row r="123" spans="1:8" s="20" customFormat="1" ht="31.5">
      <c r="A123" s="27"/>
      <c r="B123" s="28">
        <f>-631.9-66.8</f>
        <v>-698.69999999999993</v>
      </c>
      <c r="C123" s="31" t="s">
        <v>66</v>
      </c>
      <c r="D123" s="31"/>
      <c r="E123" s="28">
        <f>B123</f>
        <v>-698.69999999999993</v>
      </c>
      <c r="F123" s="28"/>
      <c r="G123" s="28"/>
    </row>
    <row r="124" spans="1:8" s="20" customFormat="1" ht="51" customHeight="1">
      <c r="A124" s="27"/>
      <c r="B124" s="28">
        <v>631.9</v>
      </c>
      <c r="C124" s="31" t="s">
        <v>138</v>
      </c>
      <c r="D124" s="31"/>
      <c r="E124" s="28"/>
      <c r="F124" s="28"/>
      <c r="G124" s="28">
        <v>631.9</v>
      </c>
    </row>
    <row r="125" spans="1:8" s="20" customFormat="1" ht="47.25">
      <c r="A125" s="27"/>
      <c r="B125" s="28">
        <f>D125+E125+F125+G125</f>
        <v>-4957.5999999999985</v>
      </c>
      <c r="C125" s="31" t="s">
        <v>210</v>
      </c>
      <c r="D125" s="31"/>
      <c r="E125" s="28">
        <f>-1385.2-3473.6-6000+4858.8+0.1</f>
        <v>-5999.8999999999987</v>
      </c>
      <c r="F125" s="28"/>
      <c r="G125" s="28">
        <f>876+147.8+18.5</f>
        <v>1042.3</v>
      </c>
      <c r="H125" s="13"/>
    </row>
    <row r="126" spans="1:8" s="20" customFormat="1" ht="47.25">
      <c r="A126" s="27"/>
      <c r="B126" s="28">
        <v>-542</v>
      </c>
      <c r="C126" s="31" t="s">
        <v>209</v>
      </c>
      <c r="D126" s="31"/>
      <c r="E126" s="28">
        <v>0</v>
      </c>
      <c r="F126" s="28"/>
      <c r="G126" s="28">
        <f>B126</f>
        <v>-542</v>
      </c>
      <c r="H126" s="13"/>
    </row>
    <row r="127" spans="1:8" s="20" customFormat="1" ht="29.25" customHeight="1">
      <c r="A127" s="25" t="s">
        <v>124</v>
      </c>
      <c r="B127" s="26">
        <f>SUM(B128:B140)</f>
        <v>3419.3000000000006</v>
      </c>
      <c r="C127" s="39" t="s">
        <v>18</v>
      </c>
      <c r="D127" s="26">
        <f>SUM(D128:D139)</f>
        <v>0</v>
      </c>
      <c r="E127" s="26">
        <f>SUM(E128:E140)</f>
        <v>3369.3000000000006</v>
      </c>
      <c r="F127" s="26">
        <f>SUM(F128:F139)</f>
        <v>0</v>
      </c>
      <c r="G127" s="26">
        <f>SUM(G128:G139)</f>
        <v>50</v>
      </c>
    </row>
    <row r="128" spans="1:8" s="20" customFormat="1" ht="47.25">
      <c r="A128" s="27"/>
      <c r="B128" s="28">
        <f>1448.9+2032</f>
        <v>3480.9</v>
      </c>
      <c r="C128" s="31" t="s">
        <v>41</v>
      </c>
      <c r="D128" s="31"/>
      <c r="E128" s="28">
        <f>B128</f>
        <v>3480.9</v>
      </c>
      <c r="F128" s="28"/>
      <c r="G128" s="28"/>
    </row>
    <row r="129" spans="1:7" s="20" customFormat="1" ht="30">
      <c r="A129" s="27"/>
      <c r="B129" s="28">
        <v>2090.3000000000002</v>
      </c>
      <c r="C129" s="59" t="s">
        <v>47</v>
      </c>
      <c r="D129" s="59"/>
      <c r="E129" s="28">
        <f>B129</f>
        <v>2090.3000000000002</v>
      </c>
      <c r="F129" s="28"/>
      <c r="G129" s="28"/>
    </row>
    <row r="130" spans="1:7" s="20" customFormat="1" ht="45">
      <c r="A130" s="27"/>
      <c r="B130" s="28">
        <f>164.9+647.5</f>
        <v>812.4</v>
      </c>
      <c r="C130" s="59" t="s">
        <v>48</v>
      </c>
      <c r="D130" s="59"/>
      <c r="E130" s="28">
        <f>B130</f>
        <v>812.4</v>
      </c>
      <c r="F130" s="28"/>
      <c r="G130" s="28"/>
    </row>
    <row r="131" spans="1:7" s="20" customFormat="1" ht="30">
      <c r="A131" s="27"/>
      <c r="B131" s="28">
        <f>E131+G131</f>
        <v>0</v>
      </c>
      <c r="C131" s="59" t="s">
        <v>65</v>
      </c>
      <c r="D131" s="59"/>
      <c r="E131" s="28">
        <v>-50</v>
      </c>
      <c r="F131" s="28"/>
      <c r="G131" s="28">
        <v>50</v>
      </c>
    </row>
    <row r="132" spans="1:7" s="20" customFormat="1" ht="30">
      <c r="A132" s="27"/>
      <c r="B132" s="28">
        <f>E132+F132+G132</f>
        <v>-39.299999999999997</v>
      </c>
      <c r="C132" s="59" t="s">
        <v>132</v>
      </c>
      <c r="D132" s="59"/>
      <c r="E132" s="28">
        <v>-39.299999999999997</v>
      </c>
      <c r="F132" s="28"/>
      <c r="G132" s="28"/>
    </row>
    <row r="133" spans="1:7" s="20" customFormat="1" ht="30">
      <c r="A133" s="27"/>
      <c r="B133" s="28">
        <f>-940.2</f>
        <v>-940.2</v>
      </c>
      <c r="C133" s="59" t="s">
        <v>78</v>
      </c>
      <c r="D133" s="59"/>
      <c r="E133" s="28">
        <f>B133</f>
        <v>-940.2</v>
      </c>
      <c r="F133" s="28"/>
      <c r="G133" s="28"/>
    </row>
    <row r="134" spans="1:7" s="20" customFormat="1" ht="45">
      <c r="A134" s="27"/>
      <c r="B134" s="28">
        <f>418.7+403.6</f>
        <v>822.3</v>
      </c>
      <c r="C134" s="59" t="s">
        <v>157</v>
      </c>
      <c r="D134" s="59"/>
      <c r="E134" s="28">
        <f>B134</f>
        <v>822.3</v>
      </c>
      <c r="F134" s="28"/>
      <c r="G134" s="28"/>
    </row>
    <row r="135" spans="1:7" s="20" customFormat="1" ht="30">
      <c r="A135" s="27"/>
      <c r="B135" s="28">
        <v>-403.7</v>
      </c>
      <c r="C135" s="59" t="s">
        <v>113</v>
      </c>
      <c r="D135" s="59"/>
      <c r="E135" s="28">
        <f>B135</f>
        <v>-403.7</v>
      </c>
      <c r="F135" s="28"/>
      <c r="G135" s="28"/>
    </row>
    <row r="136" spans="1:7" s="20" customFormat="1" ht="45">
      <c r="A136" s="27"/>
      <c r="B136" s="28">
        <f>-1782.8-559</f>
        <v>-2341.8000000000002</v>
      </c>
      <c r="C136" s="59" t="s">
        <v>106</v>
      </c>
      <c r="D136" s="59"/>
      <c r="E136" s="28">
        <f>B136</f>
        <v>-2341.8000000000002</v>
      </c>
      <c r="F136" s="28"/>
      <c r="G136" s="28"/>
    </row>
    <row r="137" spans="1:7" s="20" customFormat="1" ht="30">
      <c r="A137" s="27"/>
      <c r="B137" s="28">
        <f>-219.2</f>
        <v>-219.2</v>
      </c>
      <c r="C137" s="59" t="s">
        <v>80</v>
      </c>
      <c r="D137" s="59"/>
      <c r="E137" s="28">
        <f t="shared" ref="E137:E140" si="38">B137</f>
        <v>-219.2</v>
      </c>
      <c r="F137" s="28"/>
      <c r="G137" s="28"/>
    </row>
    <row r="138" spans="1:7" s="20" customFormat="1" ht="45">
      <c r="A138" s="27"/>
      <c r="B138" s="28">
        <v>254.8</v>
      </c>
      <c r="C138" s="59" t="s">
        <v>107</v>
      </c>
      <c r="D138" s="59"/>
      <c r="E138" s="28">
        <f t="shared" si="38"/>
        <v>254.8</v>
      </c>
      <c r="F138" s="28"/>
      <c r="G138" s="28"/>
    </row>
    <row r="139" spans="1:7" s="20" customFormat="1" ht="30">
      <c r="A139" s="27"/>
      <c r="B139" s="28">
        <v>-129.9</v>
      </c>
      <c r="C139" s="59" t="s">
        <v>81</v>
      </c>
      <c r="D139" s="59"/>
      <c r="E139" s="28">
        <f t="shared" si="38"/>
        <v>-129.9</v>
      </c>
      <c r="F139" s="28"/>
      <c r="G139" s="28"/>
    </row>
    <row r="140" spans="1:7" s="20" customFormat="1" ht="30">
      <c r="A140" s="27"/>
      <c r="B140" s="28">
        <v>32.700000000000003</v>
      </c>
      <c r="C140" s="59" t="s">
        <v>208</v>
      </c>
      <c r="D140" s="59"/>
      <c r="E140" s="28">
        <f t="shared" si="38"/>
        <v>32.700000000000003</v>
      </c>
      <c r="F140" s="28"/>
      <c r="G140" s="28"/>
    </row>
    <row r="141" spans="1:7" s="20" customFormat="1" ht="36.75" customHeight="1">
      <c r="A141" s="25" t="s">
        <v>126</v>
      </c>
      <c r="B141" s="26">
        <f>SUM(B142:B144)</f>
        <v>-2317.8999999999996</v>
      </c>
      <c r="C141" s="39" t="s">
        <v>46</v>
      </c>
      <c r="D141" s="26">
        <f>SUM(D142:D143)</f>
        <v>0</v>
      </c>
      <c r="E141" s="26">
        <f>SUM(E142:E144)</f>
        <v>-2317.8999999999996</v>
      </c>
      <c r="F141" s="26">
        <f t="shared" ref="F141:G141" si="39">SUM(F142:F143)</f>
        <v>0</v>
      </c>
      <c r="G141" s="26">
        <f t="shared" si="39"/>
        <v>0</v>
      </c>
    </row>
    <row r="142" spans="1:7" s="20" customFormat="1" ht="63">
      <c r="A142" s="27"/>
      <c r="B142" s="28">
        <f>-2090.2-164.8-65.7</f>
        <v>-2320.6999999999998</v>
      </c>
      <c r="C142" s="31" t="s">
        <v>158</v>
      </c>
      <c r="D142" s="31"/>
      <c r="E142" s="28">
        <f>B142</f>
        <v>-2320.6999999999998</v>
      </c>
      <c r="F142" s="28"/>
      <c r="G142" s="28"/>
    </row>
    <row r="143" spans="1:7" s="20" customFormat="1" ht="31.5">
      <c r="A143" s="27"/>
      <c r="B143" s="28">
        <f>-7.7</f>
        <v>-7.7</v>
      </c>
      <c r="C143" s="31" t="s">
        <v>112</v>
      </c>
      <c r="D143" s="31"/>
      <c r="E143" s="28">
        <f>B143</f>
        <v>-7.7</v>
      </c>
      <c r="F143" s="28"/>
      <c r="G143" s="28"/>
    </row>
    <row r="144" spans="1:7" s="20" customFormat="1">
      <c r="A144" s="27"/>
      <c r="B144" s="28">
        <v>10.5</v>
      </c>
      <c r="C144" s="31" t="s">
        <v>120</v>
      </c>
      <c r="D144" s="31"/>
      <c r="E144" s="28">
        <f>B144</f>
        <v>10.5</v>
      </c>
      <c r="F144" s="28"/>
      <c r="G144" s="28"/>
    </row>
    <row r="145" spans="1:8" s="20" customFormat="1" ht="47.25">
      <c r="A145" s="25" t="s">
        <v>127</v>
      </c>
      <c r="B145" s="26">
        <f>SUM(B146:B153)</f>
        <v>3891.6</v>
      </c>
      <c r="C145" s="44" t="s">
        <v>20</v>
      </c>
      <c r="D145" s="26">
        <f>SUM(D146:D153)</f>
        <v>0</v>
      </c>
      <c r="E145" s="26">
        <f>SUM(E146:E153)</f>
        <v>3891.6</v>
      </c>
      <c r="F145" s="26">
        <f t="shared" ref="F145:G145" si="40">SUM(F146:F153)</f>
        <v>0</v>
      </c>
      <c r="G145" s="26">
        <f t="shared" si="40"/>
        <v>0</v>
      </c>
    </row>
    <row r="146" spans="1:8" s="20" customFormat="1" ht="47.25">
      <c r="A146" s="27"/>
      <c r="B146" s="28">
        <f>-130</f>
        <v>-130</v>
      </c>
      <c r="C146" s="31" t="s">
        <v>49</v>
      </c>
      <c r="D146" s="31"/>
      <c r="E146" s="28">
        <f t="shared" ref="E146:E153" si="41">B146</f>
        <v>-130</v>
      </c>
      <c r="F146" s="28"/>
      <c r="G146" s="28"/>
    </row>
    <row r="147" spans="1:8" s="20" customFormat="1" ht="31.5">
      <c r="A147" s="27"/>
      <c r="B147" s="28">
        <v>-48.9</v>
      </c>
      <c r="C147" s="31" t="s">
        <v>50</v>
      </c>
      <c r="D147" s="31"/>
      <c r="E147" s="28">
        <f t="shared" si="41"/>
        <v>-48.9</v>
      </c>
      <c r="F147" s="28"/>
      <c r="G147" s="28"/>
    </row>
    <row r="148" spans="1:8" s="20" customFormat="1" ht="63">
      <c r="A148" s="27"/>
      <c r="B148" s="28">
        <v>239.5</v>
      </c>
      <c r="C148" s="60" t="s">
        <v>57</v>
      </c>
      <c r="D148" s="60"/>
      <c r="E148" s="28">
        <f t="shared" si="41"/>
        <v>239.5</v>
      </c>
      <c r="F148" s="28"/>
      <c r="G148" s="28"/>
    </row>
    <row r="149" spans="1:8" s="20" customFormat="1" ht="31.5">
      <c r="A149" s="27"/>
      <c r="B149" s="28">
        <v>104.4</v>
      </c>
      <c r="C149" s="60" t="s">
        <v>62</v>
      </c>
      <c r="D149" s="60"/>
      <c r="E149" s="28">
        <f t="shared" si="41"/>
        <v>104.4</v>
      </c>
      <c r="F149" s="28"/>
      <c r="G149" s="28"/>
    </row>
    <row r="150" spans="1:8" s="20" customFormat="1" ht="31.5">
      <c r="A150" s="27"/>
      <c r="B150" s="28">
        <v>-576</v>
      </c>
      <c r="C150" s="31" t="s">
        <v>50</v>
      </c>
      <c r="D150" s="60"/>
      <c r="E150" s="28">
        <f t="shared" si="41"/>
        <v>-576</v>
      </c>
      <c r="F150" s="28"/>
      <c r="G150" s="28"/>
      <c r="H150" s="13"/>
    </row>
    <row r="151" spans="1:8" s="20" customFormat="1" ht="47.25">
      <c r="A151" s="27"/>
      <c r="B151" s="28">
        <v>3473.6</v>
      </c>
      <c r="C151" s="60" t="s">
        <v>133</v>
      </c>
      <c r="D151" s="60"/>
      <c r="E151" s="28">
        <f t="shared" si="41"/>
        <v>3473.6</v>
      </c>
      <c r="F151" s="28"/>
      <c r="G151" s="28"/>
    </row>
    <row r="152" spans="1:8" s="20" customFormat="1" ht="94.5">
      <c r="A152" s="27"/>
      <c r="B152" s="28">
        <v>520</v>
      </c>
      <c r="C152" s="61" t="s">
        <v>116</v>
      </c>
      <c r="D152" s="60"/>
      <c r="E152" s="28">
        <f t="shared" si="41"/>
        <v>520</v>
      </c>
      <c r="F152" s="28"/>
      <c r="G152" s="28"/>
    </row>
    <row r="153" spans="1:8" s="20" customFormat="1" ht="63">
      <c r="A153" s="27"/>
      <c r="B153" s="28">
        <f>54+255</f>
        <v>309</v>
      </c>
      <c r="C153" s="61" t="s">
        <v>159</v>
      </c>
      <c r="D153" s="60"/>
      <c r="E153" s="28">
        <f t="shared" si="41"/>
        <v>309</v>
      </c>
      <c r="F153" s="28"/>
      <c r="G153" s="28"/>
    </row>
    <row r="154" spans="1:8" s="20" customFormat="1" ht="47.25">
      <c r="A154" s="25" t="s">
        <v>197</v>
      </c>
      <c r="B154" s="26">
        <f>SUM(B155:B163)</f>
        <v>2652.7000000000003</v>
      </c>
      <c r="C154" s="44" t="s">
        <v>142</v>
      </c>
      <c r="D154" s="26">
        <f>SUM(D155:D163)</f>
        <v>0</v>
      </c>
      <c r="E154" s="26">
        <f>SUM(E155:E163)</f>
        <v>2652.7000000000003</v>
      </c>
      <c r="F154" s="26">
        <f>SUM(F155:F163)</f>
        <v>0</v>
      </c>
      <c r="G154" s="26">
        <f>SUM(G155:G163)</f>
        <v>0</v>
      </c>
    </row>
    <row r="155" spans="1:8" s="20" customFormat="1" ht="47.25">
      <c r="A155" s="27"/>
      <c r="B155" s="28">
        <v>-402.9</v>
      </c>
      <c r="C155" s="31" t="s">
        <v>160</v>
      </c>
      <c r="D155" s="31"/>
      <c r="E155" s="28">
        <f t="shared" ref="E155:E163" si="42">B155</f>
        <v>-402.9</v>
      </c>
      <c r="F155" s="28"/>
      <c r="G155" s="28"/>
    </row>
    <row r="156" spans="1:8" s="13" customFormat="1" ht="47.25">
      <c r="A156" s="27"/>
      <c r="B156" s="28">
        <v>-4.8</v>
      </c>
      <c r="C156" s="60" t="s">
        <v>36</v>
      </c>
      <c r="D156" s="60"/>
      <c r="E156" s="28">
        <f t="shared" si="42"/>
        <v>-4.8</v>
      </c>
      <c r="F156" s="28"/>
      <c r="G156" s="28"/>
    </row>
    <row r="157" spans="1:8" s="13" customFormat="1" ht="47.25">
      <c r="A157" s="27"/>
      <c r="B157" s="28">
        <f>4.8</f>
        <v>4.8</v>
      </c>
      <c r="C157" s="60" t="s">
        <v>35</v>
      </c>
      <c r="D157" s="60"/>
      <c r="E157" s="28">
        <f t="shared" si="42"/>
        <v>4.8</v>
      </c>
      <c r="F157" s="28"/>
      <c r="G157" s="28"/>
    </row>
    <row r="158" spans="1:8" s="13" customFormat="1" ht="63">
      <c r="A158" s="27"/>
      <c r="B158" s="28">
        <f>-239.5</f>
        <v>-239.5</v>
      </c>
      <c r="C158" s="60" t="s">
        <v>57</v>
      </c>
      <c r="D158" s="60"/>
      <c r="E158" s="28">
        <f t="shared" si="42"/>
        <v>-239.5</v>
      </c>
      <c r="F158" s="28"/>
      <c r="G158" s="28"/>
    </row>
    <row r="159" spans="1:8" s="13" customFormat="1">
      <c r="A159" s="27"/>
      <c r="B159" s="28">
        <f>-104.4</f>
        <v>-104.4</v>
      </c>
      <c r="C159" s="60" t="s">
        <v>61</v>
      </c>
      <c r="D159" s="60"/>
      <c r="E159" s="28">
        <f t="shared" si="42"/>
        <v>-104.4</v>
      </c>
      <c r="F159" s="28"/>
      <c r="G159" s="28"/>
    </row>
    <row r="160" spans="1:8" s="13" customFormat="1" ht="63">
      <c r="A160" s="27"/>
      <c r="B160" s="28">
        <f>1191.5+115.3</f>
        <v>1306.8</v>
      </c>
      <c r="C160" s="61" t="s">
        <v>108</v>
      </c>
      <c r="D160" s="60"/>
      <c r="E160" s="28">
        <f t="shared" si="42"/>
        <v>1306.8</v>
      </c>
      <c r="F160" s="28"/>
      <c r="G160" s="28"/>
    </row>
    <row r="161" spans="1:8" s="13" customFormat="1" ht="31.5">
      <c r="A161" s="27"/>
      <c r="B161" s="28">
        <f>-520-48-309</f>
        <v>-877</v>
      </c>
      <c r="C161" s="61" t="s">
        <v>161</v>
      </c>
      <c r="D161" s="60"/>
      <c r="E161" s="28">
        <f t="shared" si="42"/>
        <v>-877</v>
      </c>
      <c r="F161" s="28"/>
      <c r="G161" s="28"/>
    </row>
    <row r="162" spans="1:8" s="13" customFormat="1" ht="45">
      <c r="A162" s="27"/>
      <c r="B162" s="28">
        <f>1782.8+559</f>
        <v>2341.8000000000002</v>
      </c>
      <c r="C162" s="59" t="s">
        <v>110</v>
      </c>
      <c r="D162" s="60"/>
      <c r="E162" s="28">
        <f t="shared" si="42"/>
        <v>2341.8000000000002</v>
      </c>
      <c r="F162" s="28"/>
      <c r="G162" s="28"/>
    </row>
    <row r="163" spans="1:8" s="13" customFormat="1" ht="45">
      <c r="A163" s="27"/>
      <c r="B163" s="28">
        <f>1186.9-559</f>
        <v>627.90000000000009</v>
      </c>
      <c r="C163" s="59" t="s">
        <v>109</v>
      </c>
      <c r="D163" s="60"/>
      <c r="E163" s="28">
        <f t="shared" si="42"/>
        <v>627.90000000000009</v>
      </c>
      <c r="F163" s="28"/>
      <c r="G163" s="28"/>
    </row>
    <row r="164" spans="1:8" s="13" customFormat="1" ht="31.5">
      <c r="A164" s="25" t="s">
        <v>198</v>
      </c>
      <c r="B164" s="26">
        <f>SUM(B165:B166)</f>
        <v>-130.29999999999995</v>
      </c>
      <c r="C164" s="51" t="s">
        <v>59</v>
      </c>
      <c r="D164" s="26">
        <f>SUM(D165:D166)</f>
        <v>0</v>
      </c>
      <c r="E164" s="26">
        <f>SUM(E165:E166)</f>
        <v>-130.29999999999995</v>
      </c>
      <c r="F164" s="26">
        <f>SUM(F165:F166)</f>
        <v>0</v>
      </c>
      <c r="G164" s="26">
        <f>SUM(G165:G166)</f>
        <v>0</v>
      </c>
    </row>
    <row r="165" spans="1:8" s="13" customFormat="1" ht="63">
      <c r="A165" s="27"/>
      <c r="B165" s="28">
        <f>-426-591.5-498</f>
        <v>-1515.5</v>
      </c>
      <c r="C165" s="61" t="s">
        <v>162</v>
      </c>
      <c r="D165" s="60"/>
      <c r="E165" s="28">
        <f>B165</f>
        <v>-1515.5</v>
      </c>
      <c r="F165" s="28"/>
      <c r="G165" s="28"/>
    </row>
    <row r="166" spans="1:8" s="13" customFormat="1" ht="47.25">
      <c r="A166" s="27"/>
      <c r="B166" s="28">
        <v>1385.2</v>
      </c>
      <c r="C166" s="60" t="s">
        <v>75</v>
      </c>
      <c r="D166" s="60"/>
      <c r="E166" s="28">
        <f>B166</f>
        <v>1385.2</v>
      </c>
      <c r="F166" s="28"/>
      <c r="G166" s="28"/>
    </row>
    <row r="167" spans="1:8" s="18" customFormat="1" ht="48">
      <c r="A167" s="25" t="s">
        <v>199</v>
      </c>
      <c r="B167" s="26">
        <f>SUM(B168:B169)</f>
        <v>-363.7</v>
      </c>
      <c r="C167" s="44" t="s">
        <v>16</v>
      </c>
      <c r="D167" s="26">
        <f>SUM(D168:D169)</f>
        <v>0</v>
      </c>
      <c r="E167" s="26">
        <f>SUM(E168:E169)</f>
        <v>-363.7</v>
      </c>
      <c r="F167" s="26">
        <f>SUM(F168:F169)</f>
        <v>0</v>
      </c>
      <c r="G167" s="26">
        <f>SUM(G168:G169)</f>
        <v>0</v>
      </c>
      <c r="H167" s="40"/>
    </row>
    <row r="168" spans="1:8" s="18" customFormat="1" ht="31.5">
      <c r="A168" s="27"/>
      <c r="B168" s="28">
        <v>-469.5</v>
      </c>
      <c r="C168" s="92" t="s">
        <v>34</v>
      </c>
      <c r="D168" s="92"/>
      <c r="E168" s="28">
        <f>B168</f>
        <v>-469.5</v>
      </c>
      <c r="F168" s="28"/>
      <c r="G168" s="28"/>
      <c r="H168" s="41"/>
    </row>
    <row r="169" spans="1:8" s="18" customFormat="1">
      <c r="A169" s="27"/>
      <c r="B169" s="28">
        <f>279.8-174</f>
        <v>105.80000000000001</v>
      </c>
      <c r="C169" s="42" t="s">
        <v>51</v>
      </c>
      <c r="D169" s="42"/>
      <c r="E169" s="28">
        <f>B169</f>
        <v>105.80000000000001</v>
      </c>
      <c r="F169" s="28"/>
      <c r="G169" s="28"/>
      <c r="H169" s="41"/>
    </row>
    <row r="170" spans="1:8" s="18" customFormat="1" ht="63">
      <c r="A170" s="25" t="s">
        <v>200</v>
      </c>
      <c r="B170" s="26">
        <f>SUM(B171:B173)</f>
        <v>-72.3</v>
      </c>
      <c r="C170" s="51" t="s">
        <v>17</v>
      </c>
      <c r="D170" s="26">
        <f>SUM(D171:D173)</f>
        <v>0</v>
      </c>
      <c r="E170" s="26">
        <f>SUM(E171:E173)</f>
        <v>-72.3</v>
      </c>
      <c r="F170" s="26">
        <f t="shared" ref="F170:G170" si="43">SUM(F171:F173)</f>
        <v>0</v>
      </c>
      <c r="G170" s="26">
        <f t="shared" si="43"/>
        <v>0</v>
      </c>
    </row>
    <row r="171" spans="1:8" s="18" customFormat="1" ht="63">
      <c r="A171" s="27"/>
      <c r="B171" s="28">
        <v>-22.2</v>
      </c>
      <c r="C171" s="60" t="s">
        <v>37</v>
      </c>
      <c r="D171" s="60"/>
      <c r="E171" s="28">
        <f>B171</f>
        <v>-22.2</v>
      </c>
      <c r="F171" s="28"/>
      <c r="G171" s="28"/>
    </row>
    <row r="172" spans="1:8" s="18" customFormat="1" ht="45">
      <c r="A172" s="27"/>
      <c r="B172" s="28">
        <v>117.9</v>
      </c>
      <c r="C172" s="59" t="s">
        <v>163</v>
      </c>
      <c r="D172" s="60"/>
      <c r="E172" s="28">
        <f>B172</f>
        <v>117.9</v>
      </c>
      <c r="F172" s="28"/>
      <c r="G172" s="28"/>
      <c r="H172" s="20"/>
    </row>
    <row r="173" spans="1:8" s="18" customFormat="1" ht="78.75">
      <c r="A173" s="27"/>
      <c r="B173" s="28">
        <f>-14.7-153.3</f>
        <v>-168</v>
      </c>
      <c r="C173" s="60" t="s">
        <v>164</v>
      </c>
      <c r="D173" s="60"/>
      <c r="E173" s="28">
        <f>B173</f>
        <v>-168</v>
      </c>
      <c r="F173" s="28"/>
      <c r="G173" s="28"/>
      <c r="H173" s="20"/>
    </row>
    <row r="174" spans="1:8" s="18" customFormat="1" ht="33" customHeight="1">
      <c r="A174" s="25" t="s">
        <v>201</v>
      </c>
      <c r="B174" s="26">
        <f>SUM(B175:B177)</f>
        <v>885.5</v>
      </c>
      <c r="C174" s="85" t="s">
        <v>140</v>
      </c>
      <c r="D174" s="26">
        <f>SUM(D175:D176)</f>
        <v>0</v>
      </c>
      <c r="E174" s="26">
        <f>SUM(E175:E177)</f>
        <v>885.5</v>
      </c>
      <c r="F174" s="26">
        <f t="shared" ref="F174:G174" si="44">SUM(F175:F176)</f>
        <v>0</v>
      </c>
      <c r="G174" s="26">
        <f t="shared" si="44"/>
        <v>0</v>
      </c>
    </row>
    <row r="175" spans="1:8" s="18" customFormat="1" ht="31.5">
      <c r="A175" s="27"/>
      <c r="B175" s="28">
        <v>460.6</v>
      </c>
      <c r="C175" s="60" t="s">
        <v>115</v>
      </c>
      <c r="D175" s="60"/>
      <c r="E175" s="28">
        <f>B175</f>
        <v>460.6</v>
      </c>
      <c r="F175" s="28"/>
      <c r="G175" s="28"/>
      <c r="H175" s="50"/>
    </row>
    <row r="176" spans="1:8" s="18" customFormat="1" ht="31.5">
      <c r="A176" s="27"/>
      <c r="B176" s="28">
        <v>403.7</v>
      </c>
      <c r="C176" s="60" t="s">
        <v>114</v>
      </c>
      <c r="D176" s="60"/>
      <c r="E176" s="28">
        <f>B176</f>
        <v>403.7</v>
      </c>
      <c r="F176" s="28"/>
      <c r="G176" s="28"/>
      <c r="H176" s="50"/>
    </row>
    <row r="177" spans="1:8" s="37" customFormat="1" ht="31.5">
      <c r="A177" s="27"/>
      <c r="B177" s="28">
        <v>21.2</v>
      </c>
      <c r="C177" s="60" t="s">
        <v>134</v>
      </c>
      <c r="D177" s="60"/>
      <c r="E177" s="28">
        <f>B177</f>
        <v>21.2</v>
      </c>
      <c r="F177" s="28"/>
      <c r="G177" s="28"/>
      <c r="H177" s="50"/>
    </row>
    <row r="178" spans="1:8" s="37" customFormat="1" ht="32.25" customHeight="1">
      <c r="A178" s="25" t="s">
        <v>202</v>
      </c>
      <c r="B178" s="26">
        <f>SUM(B179:B180)</f>
        <v>48</v>
      </c>
      <c r="C178" s="51" t="s">
        <v>76</v>
      </c>
      <c r="D178" s="26">
        <f>SUM(D179:D180)</f>
        <v>0</v>
      </c>
      <c r="E178" s="26">
        <f>SUM(E179:E180)</f>
        <v>-102</v>
      </c>
      <c r="F178" s="26">
        <f t="shared" ref="F178:G178" si="45">SUM(F179:F180)</f>
        <v>0</v>
      </c>
      <c r="G178" s="26">
        <f t="shared" si="45"/>
        <v>150</v>
      </c>
      <c r="H178" s="50"/>
    </row>
    <row r="179" spans="1:8" s="18" customFormat="1" ht="47.25">
      <c r="A179" s="27"/>
      <c r="B179" s="28">
        <v>48</v>
      </c>
      <c r="C179" s="60" t="s">
        <v>77</v>
      </c>
      <c r="D179" s="60"/>
      <c r="E179" s="28">
        <f>B179</f>
        <v>48</v>
      </c>
      <c r="F179" s="28"/>
      <c r="G179" s="28"/>
      <c r="H179" s="13"/>
    </row>
    <row r="180" spans="1:8" s="18" customFormat="1">
      <c r="A180" s="27"/>
      <c r="B180" s="28">
        <f>D180+E180+F180+G180</f>
        <v>0</v>
      </c>
      <c r="C180" s="60" t="s">
        <v>91</v>
      </c>
      <c r="D180" s="60"/>
      <c r="E180" s="28">
        <f>-150</f>
        <v>-150</v>
      </c>
      <c r="F180" s="28"/>
      <c r="G180" s="28">
        <v>150</v>
      </c>
      <c r="H180" s="13"/>
    </row>
    <row r="181" spans="1:8" s="37" customFormat="1" ht="47.25">
      <c r="A181" s="25" t="s">
        <v>203</v>
      </c>
      <c r="B181" s="26">
        <f>B182</f>
        <v>66.8</v>
      </c>
      <c r="C181" s="51" t="s">
        <v>82</v>
      </c>
      <c r="D181" s="26">
        <f>D182</f>
        <v>0</v>
      </c>
      <c r="E181" s="26">
        <f>E182</f>
        <v>66.8</v>
      </c>
      <c r="F181" s="26">
        <f t="shared" ref="F181:G181" si="46">F182</f>
        <v>0</v>
      </c>
      <c r="G181" s="26">
        <f t="shared" si="46"/>
        <v>0</v>
      </c>
      <c r="H181" s="20"/>
    </row>
    <row r="182" spans="1:8" s="37" customFormat="1">
      <c r="A182" s="27"/>
      <c r="B182" s="28">
        <v>66.8</v>
      </c>
      <c r="C182" s="60" t="s">
        <v>111</v>
      </c>
      <c r="D182" s="60"/>
      <c r="E182" s="28">
        <f>B182</f>
        <v>66.8</v>
      </c>
      <c r="F182" s="28"/>
      <c r="G182" s="28"/>
      <c r="H182" s="20"/>
    </row>
    <row r="183" spans="1:8" s="37" customFormat="1" ht="31.5">
      <c r="A183" s="25" t="s">
        <v>204</v>
      </c>
      <c r="B183" s="26">
        <f>B184+B185</f>
        <v>-8002.5</v>
      </c>
      <c r="C183" s="62" t="s">
        <v>31</v>
      </c>
      <c r="D183" s="26">
        <f>D184</f>
        <v>0</v>
      </c>
      <c r="E183" s="26">
        <f>E184+E185</f>
        <v>-8002.5</v>
      </c>
      <c r="F183" s="26">
        <f t="shared" ref="F183:G183" si="47">F184</f>
        <v>0</v>
      </c>
      <c r="G183" s="26">
        <f t="shared" si="47"/>
        <v>0</v>
      </c>
      <c r="H183" s="20"/>
    </row>
    <row r="184" spans="1:8" s="37" customFormat="1" ht="31.5">
      <c r="A184" s="25"/>
      <c r="B184" s="28">
        <f>-6733.1+142.8-1490</f>
        <v>-8080.3</v>
      </c>
      <c r="C184" s="61" t="s">
        <v>165</v>
      </c>
      <c r="D184" s="26"/>
      <c r="E184" s="28">
        <f>B184</f>
        <v>-8080.3</v>
      </c>
      <c r="F184" s="26"/>
      <c r="G184" s="26"/>
      <c r="H184" s="20"/>
    </row>
    <row r="185" spans="1:8" s="37" customFormat="1" ht="31.5">
      <c r="A185" s="25"/>
      <c r="B185" s="28">
        <f>25+52.8</f>
        <v>77.8</v>
      </c>
      <c r="C185" s="61" t="s">
        <v>134</v>
      </c>
      <c r="D185" s="26"/>
      <c r="E185" s="28">
        <f>B185</f>
        <v>77.8</v>
      </c>
      <c r="F185" s="26"/>
      <c r="G185" s="26"/>
      <c r="H185" s="20"/>
    </row>
    <row r="186" spans="1:8" s="18" customFormat="1" ht="31.5">
      <c r="A186" s="25" t="s">
        <v>205</v>
      </c>
      <c r="B186" s="26">
        <f>B187</f>
        <v>-13.2</v>
      </c>
      <c r="C186" s="51" t="s">
        <v>83</v>
      </c>
      <c r="D186" s="26">
        <f>D187</f>
        <v>0</v>
      </c>
      <c r="E186" s="26">
        <f>E187</f>
        <v>-13.2</v>
      </c>
      <c r="F186" s="26">
        <f t="shared" ref="F186:G186" si="48">F187</f>
        <v>0</v>
      </c>
      <c r="G186" s="26">
        <f t="shared" si="48"/>
        <v>0</v>
      </c>
      <c r="H186" s="13"/>
    </row>
    <row r="187" spans="1:8" s="18" customFormat="1" ht="31.5">
      <c r="A187" s="27"/>
      <c r="B187" s="28">
        <v>-13.2</v>
      </c>
      <c r="C187" s="60" t="s">
        <v>112</v>
      </c>
      <c r="D187" s="60"/>
      <c r="E187" s="28">
        <f>B187</f>
        <v>-13.2</v>
      </c>
      <c r="F187" s="28"/>
      <c r="G187" s="28"/>
      <c r="H187" s="13"/>
    </row>
    <row r="188" spans="1:8" s="18" customFormat="1" ht="31.5">
      <c r="A188" s="25" t="s">
        <v>206</v>
      </c>
      <c r="B188" s="26">
        <f>B189</f>
        <v>39.299999999999997</v>
      </c>
      <c r="C188" s="51" t="s">
        <v>121</v>
      </c>
      <c r="D188" s="26">
        <f>D189</f>
        <v>0</v>
      </c>
      <c r="E188" s="26">
        <f>E189</f>
        <v>0</v>
      </c>
      <c r="F188" s="26">
        <f t="shared" ref="F188:G188" si="49">F189</f>
        <v>39.299999999999997</v>
      </c>
      <c r="G188" s="26">
        <f t="shared" si="49"/>
        <v>0</v>
      </c>
      <c r="H188" s="13"/>
    </row>
    <row r="189" spans="1:8" s="18" customFormat="1" ht="30">
      <c r="A189" s="27"/>
      <c r="B189" s="28">
        <v>39.299999999999997</v>
      </c>
      <c r="C189" s="59" t="s">
        <v>132</v>
      </c>
      <c r="D189" s="60"/>
      <c r="E189" s="28"/>
      <c r="F189" s="28">
        <f>B189</f>
        <v>39.299999999999997</v>
      </c>
      <c r="G189" s="28"/>
      <c r="H189" s="13"/>
    </row>
    <row r="190" spans="1:8" s="13" customFormat="1">
      <c r="A190" s="25" t="s">
        <v>207</v>
      </c>
      <c r="B190" s="26">
        <f>SUM(B191:B194)</f>
        <v>-1722.8000000000002</v>
      </c>
      <c r="C190" s="51" t="s">
        <v>29</v>
      </c>
      <c r="D190" s="26">
        <f>D191+D192+D194</f>
        <v>0</v>
      </c>
      <c r="E190" s="26">
        <f>SUM(E191:E194)</f>
        <v>1493.6999999999998</v>
      </c>
      <c r="F190" s="26">
        <f t="shared" ref="F190:G190" si="50">SUM(F191:F194)</f>
        <v>-4921.2</v>
      </c>
      <c r="G190" s="26">
        <f t="shared" si="50"/>
        <v>1704.7</v>
      </c>
    </row>
    <row r="191" spans="1:8" s="13" customFormat="1" ht="47.25">
      <c r="A191" s="27"/>
      <c r="B191" s="28">
        <f>-1722.8</f>
        <v>-1722.8</v>
      </c>
      <c r="C191" s="60" t="s">
        <v>42</v>
      </c>
      <c r="D191" s="60"/>
      <c r="E191" s="28">
        <f>B191</f>
        <v>-1722.8</v>
      </c>
      <c r="F191" s="28"/>
      <c r="G191" s="28"/>
    </row>
    <row r="192" spans="1:8" s="13" customFormat="1" ht="31.5">
      <c r="A192" s="27"/>
      <c r="B192" s="28">
        <f>-123.2-200-291.1-40-375.3-1741.9-1860.5-289.2</f>
        <v>-4921.2</v>
      </c>
      <c r="C192" s="60" t="s">
        <v>166</v>
      </c>
      <c r="D192" s="60"/>
      <c r="E192" s="28"/>
      <c r="F192" s="28">
        <f>B192</f>
        <v>-4921.2</v>
      </c>
      <c r="G192" s="28"/>
    </row>
    <row r="193" spans="1:7" s="13" customFormat="1" ht="47.25">
      <c r="A193" s="27"/>
      <c r="B193" s="28">
        <f>D193+E193+F193+G193</f>
        <v>0</v>
      </c>
      <c r="C193" s="60" t="s">
        <v>218</v>
      </c>
      <c r="D193" s="60"/>
      <c r="E193" s="28">
        <f>-1704.7</f>
        <v>-1704.7</v>
      </c>
      <c r="F193" s="28"/>
      <c r="G193" s="28">
        <v>1704.7</v>
      </c>
    </row>
    <row r="194" spans="1:7" s="13" customFormat="1" ht="31.5">
      <c r="A194" s="27"/>
      <c r="B194" s="28">
        <v>4921.2</v>
      </c>
      <c r="C194" s="60" t="s">
        <v>167</v>
      </c>
      <c r="D194" s="60"/>
      <c r="E194" s="28">
        <f>B194</f>
        <v>4921.2</v>
      </c>
      <c r="F194" s="28"/>
      <c r="G194" s="28"/>
    </row>
    <row r="195" spans="1:7" s="4" customFormat="1" ht="19.5" customHeight="1">
      <c r="A195" s="93"/>
      <c r="B195" s="94">
        <f>B9+B33+B46+B59+B65+B121</f>
        <v>262033.1</v>
      </c>
      <c r="C195" s="9" t="s">
        <v>12</v>
      </c>
      <c r="D195" s="94">
        <f>D9+D33+D46+D59+D65+D121</f>
        <v>167.4</v>
      </c>
      <c r="E195" s="94">
        <f>E9+E33+E46+E59+E65+E121</f>
        <v>222210.1</v>
      </c>
      <c r="F195" s="94">
        <f t="shared" ref="F195:G195" si="51">F9+F33+F46+F59+F65+F121</f>
        <v>-4641.2999999999993</v>
      </c>
      <c r="G195" s="94">
        <f t="shared" si="51"/>
        <v>44296.9</v>
      </c>
    </row>
    <row r="196" spans="1:7" s="4" customFormat="1" ht="19.5" customHeight="1">
      <c r="A196" s="93"/>
      <c r="B196" s="10">
        <v>3501138.8</v>
      </c>
      <c r="C196" s="11" t="s">
        <v>129</v>
      </c>
      <c r="D196" s="11"/>
      <c r="E196" s="93"/>
      <c r="F196" s="93"/>
      <c r="G196" s="93"/>
    </row>
    <row r="197" spans="1:7" s="4" customFormat="1" ht="19.5" customHeight="1">
      <c r="A197" s="70"/>
      <c r="B197" s="10">
        <f>B195+B196</f>
        <v>3763171.9</v>
      </c>
      <c r="C197" s="12" t="s">
        <v>13</v>
      </c>
      <c r="D197" s="12"/>
      <c r="E197" s="70"/>
      <c r="F197" s="70"/>
      <c r="G197" s="70"/>
    </row>
    <row r="199" spans="1:7">
      <c r="B199" s="49"/>
    </row>
    <row r="200" spans="1:7">
      <c r="B200" s="7"/>
    </row>
    <row r="205" spans="1:7">
      <c r="B205" s="5"/>
    </row>
    <row r="206" spans="1:7">
      <c r="B206" s="6"/>
    </row>
  </sheetData>
  <autoFilter ref="A8:J197"/>
  <mergeCells count="10">
    <mergeCell ref="E1:G1"/>
    <mergeCell ref="A2:G2"/>
    <mergeCell ref="B5:B6"/>
    <mergeCell ref="E6:E7"/>
    <mergeCell ref="G6:G7"/>
    <mergeCell ref="A5:A7"/>
    <mergeCell ref="C5:C7"/>
    <mergeCell ref="F6:F7"/>
    <mergeCell ref="D5:G5"/>
    <mergeCell ref="D6:D7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Зорина</cp:lastModifiedBy>
  <cp:lastPrinted>2021-11-24T07:33:09Z</cp:lastPrinted>
  <dcterms:created xsi:type="dcterms:W3CDTF">1996-10-08T23:32:33Z</dcterms:created>
  <dcterms:modified xsi:type="dcterms:W3CDTF">2021-11-24T07:33:58Z</dcterms:modified>
</cp:coreProperties>
</file>