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320" windowHeight="11025"/>
  </bookViews>
  <sheets>
    <sheet name="МЗ - 2018 " sheetId="6" r:id="rId1"/>
  </sheets>
  <definedNames>
    <definedName name="_xlnm.Print_Titles" localSheetId="0">'МЗ - 2018 '!$4:$6</definedName>
    <definedName name="_xlnm.Print_Area" localSheetId="0">'МЗ - 2018 '!$A$1:$K$112</definedName>
  </definedNames>
  <calcPr calcId="125725"/>
</workbook>
</file>

<file path=xl/calcChain.xml><?xml version="1.0" encoding="utf-8"?>
<calcChain xmlns="http://schemas.openxmlformats.org/spreadsheetml/2006/main">
  <c r="J26" i="6"/>
  <c r="G112"/>
  <c r="I26"/>
  <c r="I27"/>
  <c r="H96"/>
  <c r="H44" s="1"/>
  <c r="H110"/>
  <c r="H41"/>
  <c r="H8"/>
  <c r="H7"/>
  <c r="H19"/>
  <c r="H22"/>
  <c r="J41"/>
  <c r="I7"/>
  <c r="E7"/>
  <c r="E112" s="1"/>
  <c r="F7"/>
  <c r="D7"/>
  <c r="F112"/>
  <c r="D112"/>
  <c r="K42"/>
  <c r="J42"/>
  <c r="I42"/>
  <c r="H42"/>
  <c r="K43"/>
  <c r="K40"/>
  <c r="J39"/>
  <c r="I39"/>
  <c r="H39"/>
  <c r="K22"/>
  <c r="K21"/>
  <c r="K20"/>
  <c r="H112" l="1"/>
  <c r="K39"/>
  <c r="K109"/>
  <c r="G109"/>
  <c r="K108"/>
  <c r="H108"/>
  <c r="G108"/>
  <c r="K107"/>
  <c r="G107"/>
  <c r="K106"/>
  <c r="G106"/>
  <c r="K105"/>
  <c r="G105"/>
  <c r="J104"/>
  <c r="K104" s="1"/>
  <c r="G104"/>
  <c r="I103"/>
  <c r="H103"/>
  <c r="F103"/>
  <c r="G103" s="1"/>
  <c r="E103"/>
  <c r="D103"/>
  <c r="K102"/>
  <c r="G102"/>
  <c r="K101"/>
  <c r="G101"/>
  <c r="K100"/>
  <c r="G100"/>
  <c r="K99"/>
  <c r="G99"/>
  <c r="I97"/>
  <c r="K97" s="1"/>
  <c r="H97"/>
  <c r="G97"/>
  <c r="J96"/>
  <c r="K96" s="1"/>
  <c r="I96"/>
  <c r="F96"/>
  <c r="G96" s="1"/>
  <c r="E96"/>
  <c r="D96"/>
  <c r="K95"/>
  <c r="H95"/>
  <c r="G95"/>
  <c r="K93"/>
  <c r="H93"/>
  <c r="G93"/>
  <c r="K92"/>
  <c r="H92"/>
  <c r="H91" s="1"/>
  <c r="G92"/>
  <c r="J91"/>
  <c r="K91" s="1"/>
  <c r="I91"/>
  <c r="G91"/>
  <c r="D91"/>
  <c r="D87" s="1"/>
  <c r="K90"/>
  <c r="G90"/>
  <c r="K89"/>
  <c r="G89"/>
  <c r="K88"/>
  <c r="J88"/>
  <c r="I88"/>
  <c r="H88"/>
  <c r="G88"/>
  <c r="D88"/>
  <c r="J87"/>
  <c r="K87" s="1"/>
  <c r="I87"/>
  <c r="F87"/>
  <c r="G87" s="1"/>
  <c r="E87"/>
  <c r="K86"/>
  <c r="G86"/>
  <c r="K85"/>
  <c r="J85"/>
  <c r="I85"/>
  <c r="H85"/>
  <c r="G85"/>
  <c r="D85"/>
  <c r="K84"/>
  <c r="G84"/>
  <c r="K83"/>
  <c r="J83"/>
  <c r="I83"/>
  <c r="H83"/>
  <c r="G83"/>
  <c r="D83"/>
  <c r="K82"/>
  <c r="G82"/>
  <c r="K81"/>
  <c r="G81"/>
  <c r="K80"/>
  <c r="G80"/>
  <c r="K79"/>
  <c r="J79"/>
  <c r="I79"/>
  <c r="H79"/>
  <c r="G79"/>
  <c r="D79"/>
  <c r="K78"/>
  <c r="G78"/>
  <c r="K77"/>
  <c r="G77"/>
  <c r="K75"/>
  <c r="J75"/>
  <c r="I75"/>
  <c r="H75"/>
  <c r="G75"/>
  <c r="D75"/>
  <c r="K74"/>
  <c r="G74"/>
  <c r="K73"/>
  <c r="G73"/>
  <c r="K72"/>
  <c r="G72"/>
  <c r="K71"/>
  <c r="J71"/>
  <c r="I71"/>
  <c r="H71"/>
  <c r="H70" s="1"/>
  <c r="G71"/>
  <c r="D71"/>
  <c r="J70"/>
  <c r="K70" s="1"/>
  <c r="I70"/>
  <c r="F70"/>
  <c r="G70" s="1"/>
  <c r="E70"/>
  <c r="D70"/>
  <c r="H69"/>
  <c r="J68"/>
  <c r="K68" s="1"/>
  <c r="I68"/>
  <c r="H68"/>
  <c r="H63" s="1"/>
  <c r="G68"/>
  <c r="J67"/>
  <c r="K67" s="1"/>
  <c r="I67"/>
  <c r="H67"/>
  <c r="G67"/>
  <c r="K66"/>
  <c r="J66"/>
  <c r="I66"/>
  <c r="H66"/>
  <c r="G66"/>
  <c r="K65"/>
  <c r="G65"/>
  <c r="J64"/>
  <c r="K64" s="1"/>
  <c r="I64"/>
  <c r="I63" s="1"/>
  <c r="H64"/>
  <c r="G64"/>
  <c r="G63"/>
  <c r="F63"/>
  <c r="E63"/>
  <c r="D63"/>
  <c r="K62"/>
  <c r="G62"/>
  <c r="K61"/>
  <c r="G61"/>
  <c r="K60"/>
  <c r="J60"/>
  <c r="I60"/>
  <c r="H60"/>
  <c r="G60"/>
  <c r="K59"/>
  <c r="G59"/>
  <c r="J58"/>
  <c r="K58" s="1"/>
  <c r="I58"/>
  <c r="G58"/>
  <c r="J57"/>
  <c r="K57" s="1"/>
  <c r="I57"/>
  <c r="H57"/>
  <c r="G57"/>
  <c r="K56"/>
  <c r="J56"/>
  <c r="I56"/>
  <c r="H56"/>
  <c r="G56"/>
  <c r="K55"/>
  <c r="J55"/>
  <c r="I55"/>
  <c r="H55"/>
  <c r="G55"/>
  <c r="J54"/>
  <c r="K54" s="1"/>
  <c r="I54"/>
  <c r="I53" s="1"/>
  <c r="I45" s="1"/>
  <c r="I44" s="1"/>
  <c r="H54"/>
  <c r="H53" s="1"/>
  <c r="G54"/>
  <c r="J53"/>
  <c r="K53" s="1"/>
  <c r="F53"/>
  <c r="G53" s="1"/>
  <c r="E53"/>
  <c r="D53"/>
  <c r="J52"/>
  <c r="K52" s="1"/>
  <c r="I52"/>
  <c r="H52"/>
  <c r="G52"/>
  <c r="K51"/>
  <c r="J51"/>
  <c r="I51"/>
  <c r="H51"/>
  <c r="G51"/>
  <c r="K50"/>
  <c r="G50"/>
  <c r="J49"/>
  <c r="K49" s="1"/>
  <c r="I49"/>
  <c r="H49"/>
  <c r="G49"/>
  <c r="K48"/>
  <c r="J48"/>
  <c r="J46" s="1"/>
  <c r="I48"/>
  <c r="H48"/>
  <c r="G48"/>
  <c r="K47"/>
  <c r="J47"/>
  <c r="I47"/>
  <c r="H47"/>
  <c r="H46" s="1"/>
  <c r="H45" s="1"/>
  <c r="G47"/>
  <c r="I46"/>
  <c r="F46"/>
  <c r="G46" s="1"/>
  <c r="E46"/>
  <c r="D46"/>
  <c r="E45"/>
  <c r="E44" s="1"/>
  <c r="D45"/>
  <c r="D44" s="1"/>
  <c r="K46" l="1"/>
  <c r="H87"/>
  <c r="J63"/>
  <c r="K63" s="1"/>
  <c r="F45"/>
  <c r="J103"/>
  <c r="K103" s="1"/>
  <c r="F44" l="1"/>
  <c r="G44" s="1"/>
  <c r="G45"/>
  <c r="J45"/>
  <c r="J44" l="1"/>
  <c r="K44" s="1"/>
  <c r="K45"/>
  <c r="G43" l="1"/>
  <c r="F42"/>
  <c r="F41" s="1"/>
  <c r="E42"/>
  <c r="E41" s="1"/>
  <c r="D42"/>
  <c r="D41" s="1"/>
  <c r="K41"/>
  <c r="I41"/>
  <c r="G40"/>
  <c r="F39"/>
  <c r="F38" s="1"/>
  <c r="G38" s="1"/>
  <c r="E39"/>
  <c r="D39"/>
  <c r="J38"/>
  <c r="I38"/>
  <c r="H38"/>
  <c r="E38"/>
  <c r="D38"/>
  <c r="K37"/>
  <c r="G37"/>
  <c r="J36"/>
  <c r="K36" s="1"/>
  <c r="I36"/>
  <c r="H36"/>
  <c r="F36"/>
  <c r="G36" s="1"/>
  <c r="E36"/>
  <c r="D36"/>
  <c r="J35"/>
  <c r="K35" s="1"/>
  <c r="I35"/>
  <c r="H35"/>
  <c r="F35"/>
  <c r="G35" s="1"/>
  <c r="E35"/>
  <c r="D35"/>
  <c r="J34"/>
  <c r="K34" s="1"/>
  <c r="I34"/>
  <c r="H34"/>
  <c r="F34"/>
  <c r="G34" s="1"/>
  <c r="E34"/>
  <c r="D34"/>
  <c r="K33"/>
  <c r="G33"/>
  <c r="J32"/>
  <c r="K32" s="1"/>
  <c r="I32"/>
  <c r="H32"/>
  <c r="F32"/>
  <c r="E32"/>
  <c r="D32"/>
  <c r="J31"/>
  <c r="I31"/>
  <c r="H31"/>
  <c r="F31"/>
  <c r="E31"/>
  <c r="D31"/>
  <c r="D27" s="1"/>
  <c r="D24" s="1"/>
  <c r="D23" s="1"/>
  <c r="J30"/>
  <c r="K30" s="1"/>
  <c r="I30"/>
  <c r="H30"/>
  <c r="F30"/>
  <c r="E30"/>
  <c r="D30"/>
  <c r="K29"/>
  <c r="G29"/>
  <c r="K26"/>
  <c r="H26"/>
  <c r="G26"/>
  <c r="F26"/>
  <c r="E26"/>
  <c r="D26"/>
  <c r="J25"/>
  <c r="I25"/>
  <c r="H25"/>
  <c r="G25"/>
  <c r="F25"/>
  <c r="E25"/>
  <c r="D25"/>
  <c r="G22"/>
  <c r="G21"/>
  <c r="G20"/>
  <c r="J19"/>
  <c r="K19" s="1"/>
  <c r="I19"/>
  <c r="F19"/>
  <c r="E19"/>
  <c r="D19"/>
  <c r="K18"/>
  <c r="G18"/>
  <c r="K17"/>
  <c r="G17"/>
  <c r="K16"/>
  <c r="G16"/>
  <c r="K15"/>
  <c r="I15"/>
  <c r="H15"/>
  <c r="F15"/>
  <c r="E15"/>
  <c r="D15"/>
  <c r="I14"/>
  <c r="H14"/>
  <c r="F14"/>
  <c r="E14"/>
  <c r="D14"/>
  <c r="K13"/>
  <c r="I13"/>
  <c r="I12" s="1"/>
  <c r="H13"/>
  <c r="F13"/>
  <c r="E13"/>
  <c r="D13"/>
  <c r="E12"/>
  <c r="D12"/>
  <c r="K11"/>
  <c r="I11"/>
  <c r="H11"/>
  <c r="H10" s="1"/>
  <c r="F11"/>
  <c r="F10" s="1"/>
  <c r="G10" s="1"/>
  <c r="E11"/>
  <c r="D11"/>
  <c r="J10"/>
  <c r="K10" s="1"/>
  <c r="I10"/>
  <c r="E10"/>
  <c r="D10"/>
  <c r="K9"/>
  <c r="I9"/>
  <c r="I8" s="1"/>
  <c r="H9"/>
  <c r="F9"/>
  <c r="E9"/>
  <c r="E8" s="1"/>
  <c r="D9"/>
  <c r="D8"/>
  <c r="K25" l="1"/>
  <c r="K38"/>
  <c r="J12"/>
  <c r="K12" s="1"/>
  <c r="H12"/>
  <c r="K14"/>
  <c r="F12"/>
  <c r="G12" s="1"/>
  <c r="G19"/>
  <c r="H27"/>
  <c r="H24" s="1"/>
  <c r="H23" s="1"/>
  <c r="K31"/>
  <c r="F8"/>
  <c r="E27"/>
  <c r="E24" s="1"/>
  <c r="E23" s="1"/>
  <c r="G14"/>
  <c r="I24"/>
  <c r="I23" s="1"/>
  <c r="I112" s="1"/>
  <c r="G31"/>
  <c r="G42"/>
  <c r="G9"/>
  <c r="G11"/>
  <c r="G13"/>
  <c r="G15"/>
  <c r="G30"/>
  <c r="G32"/>
  <c r="G39"/>
  <c r="G41"/>
  <c r="F27"/>
  <c r="J27"/>
  <c r="J8" l="1"/>
  <c r="J7" s="1"/>
  <c r="G8"/>
  <c r="G7" s="1"/>
  <c r="K8"/>
  <c r="K7" s="1"/>
  <c r="F24"/>
  <c r="G27"/>
  <c r="K27"/>
  <c r="J24"/>
  <c r="F23" l="1"/>
  <c r="G23" s="1"/>
  <c r="G24"/>
  <c r="J23"/>
  <c r="K24"/>
  <c r="K23" l="1"/>
  <c r="J112"/>
  <c r="K112" s="1"/>
</calcChain>
</file>

<file path=xl/sharedStrings.xml><?xml version="1.0" encoding="utf-8"?>
<sst xmlns="http://schemas.openxmlformats.org/spreadsheetml/2006/main" count="291" uniqueCount="166">
  <si>
    <t>№ п/п</t>
  </si>
  <si>
    <t>Наименование</t>
  </si>
  <si>
    <t>Показатель объёма муниципальной услуги (единица измерения)</t>
  </si>
  <si>
    <t>% исполнения</t>
  </si>
  <si>
    <t xml:space="preserve">Скорректированный план на год               </t>
  </si>
  <si>
    <t>1</t>
  </si>
  <si>
    <t>человеко-часы</t>
  </si>
  <si>
    <t>2</t>
  </si>
  <si>
    <t>Реализация дополнительных общеразвивающих программ</t>
  </si>
  <si>
    <t>2.1</t>
  </si>
  <si>
    <t>художественная направленность</t>
  </si>
  <si>
    <t>3</t>
  </si>
  <si>
    <t>Реализация дополнительных   общеобразовательных предпрофессиональных программ в области искусств</t>
  </si>
  <si>
    <t>человек</t>
  </si>
  <si>
    <t>3.1</t>
  </si>
  <si>
    <t>3.2</t>
  </si>
  <si>
    <t>фортепиано</t>
  </si>
  <si>
    <t>3.3</t>
  </si>
  <si>
    <t>3.4</t>
  </si>
  <si>
    <t>духовые и ударные инструменты</t>
  </si>
  <si>
    <t>хореографическое творчество</t>
  </si>
  <si>
    <t>3.5</t>
  </si>
  <si>
    <t>живопись</t>
  </si>
  <si>
    <t>физкультурно-спортивная направленность</t>
  </si>
  <si>
    <t>Реализация дополнительных предпрофессиональных программ в области физической культуры и спорта</t>
  </si>
  <si>
    <t>национальные виды спорта</t>
  </si>
  <si>
    <t>2.2</t>
  </si>
  <si>
    <t>сложно-координационные  виды спорта</t>
  </si>
  <si>
    <t>2.3</t>
  </si>
  <si>
    <t>спортивные единоборства</t>
  </si>
  <si>
    <t>2.4</t>
  </si>
  <si>
    <t>циклические, скоростно-силовые виды спорта и многоборья</t>
  </si>
  <si>
    <t>Проведение занятий физкультурно-спортивной направленности по месту проживания граждан</t>
  </si>
  <si>
    <t>4</t>
  </si>
  <si>
    <t>Организация и проведение официальных физкультурных (физкультурно-оздоровительных) мероприятий</t>
  </si>
  <si>
    <t xml:space="preserve">количество мероприятий </t>
  </si>
  <si>
    <t>5</t>
  </si>
  <si>
    <t>Организация мероприятий по подготовке спортивных сборных команд</t>
  </si>
  <si>
    <t xml:space="preserve">игровые виды спорта </t>
  </si>
  <si>
    <t>Организация и проведение физкультурно-спортивных мероприятий в рамках Всероссийского физкультурно спортивного комплекса "Готов к труду и обороне" (ГТО)</t>
  </si>
  <si>
    <t>6</t>
  </si>
  <si>
    <t xml:space="preserve">Реализация основных общеобразовательных программ начального общего образования </t>
  </si>
  <si>
    <t xml:space="preserve">число обучающихся </t>
  </si>
  <si>
    <t>1.1</t>
  </si>
  <si>
    <t>1.2</t>
  </si>
  <si>
    <t>1.3</t>
  </si>
  <si>
    <t>1.4</t>
  </si>
  <si>
    <t>очная</t>
  </si>
  <si>
    <t>1.5</t>
  </si>
  <si>
    <t xml:space="preserve">Реализация основных общеобразовательных программ основного общего образования </t>
  </si>
  <si>
    <t xml:space="preserve">Реализация основных общеобразовательных программ среднего общего образования </t>
  </si>
  <si>
    <t>льготная категория (Закон ХМАО-Югры от 30.01.2016 №4-оз)</t>
  </si>
  <si>
    <t>льготная категория (постановление администрации города Урай от 18.02.2009 №336)</t>
  </si>
  <si>
    <t>не льготная категория</t>
  </si>
  <si>
    <t>Организация отдыха детей и молодёжи</t>
  </si>
  <si>
    <t>количество человек</t>
  </si>
  <si>
    <t>2.6</t>
  </si>
  <si>
    <t>1.6</t>
  </si>
  <si>
    <t>2.5</t>
  </si>
  <si>
    <t>2.7</t>
  </si>
  <si>
    <t xml:space="preserve">Присмотр и уход </t>
  </si>
  <si>
    <t>Физические лица за исключением льготной категории Посещаемость детьми</t>
  </si>
  <si>
    <t>2.</t>
  </si>
  <si>
    <t>Реализация основных общеобразовательных программ дошкольного образования</t>
  </si>
  <si>
    <t>2.1.</t>
  </si>
  <si>
    <t>от1 года до 3 лет</t>
  </si>
  <si>
    <t>2.2.</t>
  </si>
  <si>
    <t>от 3 лет до 8 лет</t>
  </si>
  <si>
    <t>адаптированная образовательная программа с обучающимися с ограниченными возможностями здоровья (ОВЗ) от 3 лет до 8 лет</t>
  </si>
  <si>
    <t>2.3.</t>
  </si>
  <si>
    <t>Дети-инвалиды</t>
  </si>
  <si>
    <t>4.1.</t>
  </si>
  <si>
    <t>Организация досуга детей, подростков и молодежи</t>
  </si>
  <si>
    <t>МАУ "Культура"</t>
  </si>
  <si>
    <t>Создание экспозиций (выставок) музеев, организация выездных выставок</t>
  </si>
  <si>
    <t>количество экспозиций</t>
  </si>
  <si>
    <t>Библиотечное, библиографическое и информационное обслуживание пользователей библиотеки</t>
  </si>
  <si>
    <t>количество посещений</t>
  </si>
  <si>
    <t>Организация деятельности клубных формирований и формирований самодеятельности народного творчества</t>
  </si>
  <si>
    <t>количество клубных формирований</t>
  </si>
  <si>
    <t>МБУ "Газета Знамя"</t>
  </si>
  <si>
    <t>Осуществление издательской деятельности</t>
  </si>
  <si>
    <t>МАУ "МФЦ"</t>
  </si>
  <si>
    <t>5.</t>
  </si>
  <si>
    <t>6.</t>
  </si>
  <si>
    <t>4.2.</t>
  </si>
  <si>
    <t>4.3.</t>
  </si>
  <si>
    <t>2.8</t>
  </si>
  <si>
    <t>число детей</t>
  </si>
  <si>
    <t>Организация отдыха детей и молодежи в каникулярное время с дневным пребыванием</t>
  </si>
  <si>
    <t>штук</t>
  </si>
  <si>
    <t>МАУ "Городской методический центр"</t>
  </si>
  <si>
    <t>4.</t>
  </si>
  <si>
    <t>Организация проведения общественно- значимых мероприятий в сфере образования, науки и молодежной политики</t>
  </si>
  <si>
    <t>Реализация дополнительных общеобразовательных программ для контингента, принятого на обучение до 01.09.2016</t>
  </si>
  <si>
    <t>Объем муниципальных услуг (работ)</t>
  </si>
  <si>
    <t>Объем субсидий на выполнение муниципальных заданий на оказание муниципальных услуг (выполнение работ), тыс.рублей</t>
  </si>
  <si>
    <t>1.</t>
  </si>
  <si>
    <t>Муниципальная программа "Культура города Урай" на 2017-2021 годы</t>
  </si>
  <si>
    <t>МБОУ ДОД "ДШИ № 1", "ДШИ № 2"</t>
  </si>
  <si>
    <t>3.6</t>
  </si>
  <si>
    <t>Муниципальная программа "Развитие физической культуры, спорта и туризма в городе Урай" на 2016-2018 годы</t>
  </si>
  <si>
    <t>3.</t>
  </si>
  <si>
    <t>Муниципальная программа "Молодежь города Урай" на 2016-2020 годы</t>
  </si>
  <si>
    <t xml:space="preserve"> Муниципальная программа "Информационное общество - Урай" на 2016-2018 годы</t>
  </si>
  <si>
    <t>Муниципальная программа "Развитие образования города Урай" на 2014-2018 годы</t>
  </si>
  <si>
    <t>Свод по школам:</t>
  </si>
  <si>
    <t>Свод по детским садам:</t>
  </si>
  <si>
    <t xml:space="preserve">Итого: </t>
  </si>
  <si>
    <t xml:space="preserve">народные инструменты </t>
  </si>
  <si>
    <t xml:space="preserve">струнные инструменты </t>
  </si>
  <si>
    <t>адаптированная образовательная программа, обучающиеся с ограниченными возможностями здоровья (ОВЗ), проходящие обучение по состоянию здоровья на дому,  с применением дистанционных образовательных технологий ,очная  (5-9 классы)</t>
  </si>
  <si>
    <t>МАУ ДОД ДЮСШ "Старт", "Звезды Югры"</t>
  </si>
  <si>
    <t xml:space="preserve">количество занятий/мероприятий </t>
  </si>
  <si>
    <t xml:space="preserve">Кол-во услуг </t>
  </si>
  <si>
    <t>Предоставление питания</t>
  </si>
  <si>
    <t>(1-4 классы)</t>
  </si>
  <si>
    <t>(5-9 классы)</t>
  </si>
  <si>
    <t>(10-11 классы)</t>
  </si>
  <si>
    <t>5.1.</t>
  </si>
  <si>
    <t>6.1.</t>
  </si>
  <si>
    <t>2,9</t>
  </si>
  <si>
    <t>адаптированная образовательная программа с обучающимися с ограниченными возможностями здоровья (ОВЗ) от 1 года до 3 лет</t>
  </si>
  <si>
    <t>2.4.</t>
  </si>
  <si>
    <t>МБУ ДО "ЦДО"</t>
  </si>
  <si>
    <t xml:space="preserve">Организация отдыха детей и молодежи в каникулярное время с круглосуточным пребыванием </t>
  </si>
  <si>
    <t>количество мероприятий/человек</t>
  </si>
  <si>
    <t>Организация мероприятий в сфере молодежной политики, направленных на формирование системы развития талантливой и иинициативной молодежи, создание условий для сомореализации подросткой и молодежи, развитие творческого, профессионального и интеллектуального потенциала подростков и молодежи</t>
  </si>
  <si>
    <t>Организация мероприятий в сфере молодежной политики, направленных на гражданское и патриотическое воспитание молодежи, воспитание толерантности в молодежной среде, формирование правовых , культурных  и нравственных ценностей среди молодежи</t>
  </si>
  <si>
    <t>количество мероприятий/единиц</t>
  </si>
  <si>
    <t>Организация мероприятий в сфере молодежной политики, направленных на вовлечение молодежной политики, направленных на вовлечение молодежи в инновационную, предпринимательскую, добровольческую деятельность, а также на развитие гражданской активности молодежи и формирование здорового образа жизни</t>
  </si>
  <si>
    <t>Организация отдыха детей и молодежи в каникулярное время с круглосуточным пребыванием детей</t>
  </si>
  <si>
    <t>Информационно-технологическое обеспечение управления системой образования</t>
  </si>
  <si>
    <t>Научно-методическое обеспечение</t>
  </si>
  <si>
    <t>количество</t>
  </si>
  <si>
    <t>Организация мероприятий, направленных на профилактику асоциального и деструктивного поведения подростков и молодежи, поддержка детей и молодежи, находящейся в социально-опасном положении</t>
  </si>
  <si>
    <t>Формирование бюджетной отчестности для главного распорядителя, распорядителя бюджетных средств, уполномоченного на формирование сводных и консолидированных форм отчетности</t>
  </si>
  <si>
    <r>
      <rPr>
        <i/>
        <sz val="11"/>
        <color rgb="FF0070C0"/>
        <rFont val="Times New Roman"/>
        <family val="1"/>
        <charset val="204"/>
      </rPr>
      <t xml:space="preserve">очная </t>
    </r>
    <r>
      <rPr>
        <i/>
        <sz val="11"/>
        <rFont val="Times New Roman"/>
        <family val="1"/>
        <charset val="204"/>
      </rPr>
      <t>(1-4 классы)</t>
    </r>
  </si>
  <si>
    <r>
      <rPr>
        <i/>
        <sz val="11"/>
        <color rgb="FF0070C0"/>
        <rFont val="Times New Roman"/>
        <family val="1"/>
        <charset val="204"/>
      </rPr>
      <t>адаптированная</t>
    </r>
    <r>
      <rPr>
        <i/>
        <sz val="11"/>
        <rFont val="Times New Roman"/>
        <family val="1"/>
        <charset val="204"/>
      </rPr>
      <t xml:space="preserve"> образовательная программа, обучающиеся с ограниченными возможностями здоровья (</t>
    </r>
    <r>
      <rPr>
        <i/>
        <sz val="11"/>
        <color rgb="FF0070C0"/>
        <rFont val="Times New Roman"/>
        <family val="1"/>
        <charset val="204"/>
      </rPr>
      <t>ОВЗ</t>
    </r>
    <r>
      <rPr>
        <i/>
        <sz val="11"/>
        <rFont val="Times New Roman"/>
        <family val="1"/>
        <charset val="204"/>
      </rPr>
      <t>),  очная (1-4 классы)</t>
    </r>
  </si>
  <si>
    <r>
      <rPr>
        <i/>
        <sz val="11"/>
        <color rgb="FF0070C0"/>
        <rFont val="Times New Roman"/>
        <family val="1"/>
        <charset val="204"/>
      </rPr>
      <t>адаптированная</t>
    </r>
    <r>
      <rPr>
        <i/>
        <sz val="11"/>
        <rFont val="Times New Roman"/>
        <family val="1"/>
        <charset val="204"/>
      </rPr>
      <t xml:space="preserve"> образовательная программа, обучающиеся с ограниченными возможностями здоровья (</t>
    </r>
    <r>
      <rPr>
        <i/>
        <sz val="11"/>
        <color rgb="FF0070C0"/>
        <rFont val="Times New Roman"/>
        <family val="1"/>
        <charset val="204"/>
      </rPr>
      <t>ОВЗ)</t>
    </r>
    <r>
      <rPr>
        <i/>
        <sz val="11"/>
        <rFont val="Times New Roman"/>
        <family val="1"/>
        <charset val="204"/>
      </rPr>
      <t xml:space="preserve">, проходящие обучение по состоянию здоровья на </t>
    </r>
    <r>
      <rPr>
        <i/>
        <sz val="11"/>
        <color rgb="FF0070C0"/>
        <rFont val="Times New Roman"/>
        <family val="1"/>
        <charset val="204"/>
      </rPr>
      <t>дому</t>
    </r>
    <r>
      <rPr>
        <i/>
        <sz val="11"/>
        <rFont val="Times New Roman"/>
        <family val="1"/>
        <charset val="204"/>
      </rPr>
      <t>, очная (1-4 классы)</t>
    </r>
  </si>
  <si>
    <r>
      <rPr>
        <i/>
        <sz val="11"/>
        <color rgb="FF0070C0"/>
        <rFont val="Times New Roman"/>
        <family val="1"/>
        <charset val="204"/>
      </rPr>
      <t xml:space="preserve">адаптированная </t>
    </r>
    <r>
      <rPr>
        <i/>
        <sz val="11"/>
        <rFont val="Times New Roman"/>
        <family val="1"/>
        <charset val="204"/>
      </rPr>
      <t xml:space="preserve">образовательная программа, обучающиеся с ограниченными возможностями здоровья </t>
    </r>
    <r>
      <rPr>
        <i/>
        <sz val="11"/>
        <color rgb="FF0070C0"/>
        <rFont val="Times New Roman"/>
        <family val="1"/>
        <charset val="204"/>
      </rPr>
      <t>(ОВЗ)</t>
    </r>
    <r>
      <rPr>
        <i/>
        <sz val="11"/>
        <rFont val="Times New Roman"/>
        <family val="1"/>
        <charset val="204"/>
      </rPr>
      <t>, проходящие обучение по состоянию здоровья на</t>
    </r>
    <r>
      <rPr>
        <i/>
        <sz val="11"/>
        <color rgb="FF0070C0"/>
        <rFont val="Times New Roman"/>
        <family val="1"/>
        <charset val="204"/>
      </rPr>
      <t xml:space="preserve"> дому</t>
    </r>
    <r>
      <rPr>
        <i/>
        <sz val="11"/>
        <rFont val="Times New Roman"/>
        <family val="1"/>
        <charset val="204"/>
      </rPr>
      <t xml:space="preserve">, очная с применением </t>
    </r>
    <r>
      <rPr>
        <i/>
        <sz val="11"/>
        <color rgb="FF0070C0"/>
        <rFont val="Times New Roman"/>
        <family val="1"/>
        <charset val="204"/>
      </rPr>
      <t>дистанционных</t>
    </r>
    <r>
      <rPr>
        <i/>
        <sz val="11"/>
        <rFont val="Times New Roman"/>
        <family val="1"/>
        <charset val="204"/>
      </rPr>
      <t xml:space="preserve"> образовательных технологий (1-4 классы)</t>
    </r>
  </si>
  <si>
    <r>
      <rPr>
        <i/>
        <sz val="11"/>
        <color rgb="FF0070C0"/>
        <rFont val="Times New Roman"/>
        <family val="1"/>
        <charset val="204"/>
      </rPr>
      <t xml:space="preserve">адаптированная </t>
    </r>
    <r>
      <rPr>
        <i/>
        <sz val="11"/>
        <rFont val="Times New Roman"/>
        <family val="1"/>
        <charset val="204"/>
      </rPr>
      <t xml:space="preserve">образовательная программа для детей с </t>
    </r>
    <r>
      <rPr>
        <i/>
        <sz val="11"/>
        <color rgb="FF0070C0"/>
        <rFont val="Times New Roman"/>
        <family val="1"/>
        <charset val="204"/>
      </rPr>
      <t>умственной отсталостью</t>
    </r>
    <r>
      <rPr>
        <i/>
        <sz val="11"/>
        <rFont val="Times New Roman"/>
        <family val="1"/>
        <charset val="204"/>
      </rPr>
      <t>, обучающиеся с ограниченными возможностями здоровья (ОВЗ),  очная (1-4 классы)</t>
    </r>
  </si>
  <si>
    <r>
      <t>очная, проходящие обучение по состоянию здоровья</t>
    </r>
    <r>
      <rPr>
        <i/>
        <sz val="11"/>
        <color rgb="FF0070C0"/>
        <rFont val="Times New Roman"/>
        <family val="1"/>
        <charset val="204"/>
      </rPr>
      <t xml:space="preserve"> на дому</t>
    </r>
    <r>
      <rPr>
        <i/>
        <sz val="11"/>
        <rFont val="Times New Roman"/>
        <family val="1"/>
        <charset val="204"/>
      </rPr>
      <t>, очная (1-4 классы)</t>
    </r>
  </si>
  <si>
    <r>
      <rPr>
        <i/>
        <sz val="11"/>
        <color rgb="FF0070C0"/>
        <rFont val="Times New Roman"/>
        <family val="1"/>
        <charset val="204"/>
      </rPr>
      <t>очная (</t>
    </r>
    <r>
      <rPr>
        <i/>
        <sz val="11"/>
        <rFont val="Times New Roman"/>
        <family val="1"/>
        <charset val="204"/>
      </rPr>
      <t>5-9 классы)</t>
    </r>
  </si>
  <si>
    <r>
      <rPr>
        <i/>
        <sz val="11"/>
        <color rgb="FF0070C0"/>
        <rFont val="Times New Roman"/>
        <family val="1"/>
        <charset val="204"/>
      </rPr>
      <t>адаптированная</t>
    </r>
    <r>
      <rPr>
        <i/>
        <sz val="11"/>
        <rFont val="Times New Roman"/>
        <family val="1"/>
        <charset val="204"/>
      </rPr>
      <t xml:space="preserve"> образовательная программа, обучающиеся с ограниченными возможностями здоровья </t>
    </r>
    <r>
      <rPr>
        <i/>
        <sz val="11"/>
        <color rgb="FF0070C0"/>
        <rFont val="Times New Roman"/>
        <family val="1"/>
        <charset val="204"/>
      </rPr>
      <t>(ОВЗ)</t>
    </r>
    <r>
      <rPr>
        <i/>
        <sz val="11"/>
        <rFont val="Times New Roman"/>
        <family val="1"/>
        <charset val="204"/>
      </rPr>
      <t>,  очная (5-9 классы)</t>
    </r>
  </si>
  <si>
    <r>
      <rPr>
        <i/>
        <sz val="11"/>
        <color rgb="FF0070C0"/>
        <rFont val="Times New Roman"/>
        <family val="1"/>
        <charset val="204"/>
      </rPr>
      <t>адаптированная</t>
    </r>
    <r>
      <rPr>
        <i/>
        <sz val="11"/>
        <rFont val="Times New Roman"/>
        <family val="1"/>
        <charset val="204"/>
      </rPr>
      <t xml:space="preserve"> образовательная программа, обучающиеся с ограниченными возможностями здоровья </t>
    </r>
    <r>
      <rPr>
        <i/>
        <sz val="11"/>
        <color rgb="FF0070C0"/>
        <rFont val="Times New Roman"/>
        <family val="1"/>
        <charset val="204"/>
      </rPr>
      <t>(ОВЗ)</t>
    </r>
    <r>
      <rPr>
        <i/>
        <sz val="11"/>
        <rFont val="Times New Roman"/>
        <family val="1"/>
        <charset val="204"/>
      </rPr>
      <t xml:space="preserve">, проходящие обучение по состоянию здоровья </t>
    </r>
    <r>
      <rPr>
        <i/>
        <sz val="11"/>
        <color rgb="FF0070C0"/>
        <rFont val="Times New Roman"/>
        <family val="1"/>
        <charset val="204"/>
      </rPr>
      <t>на дому</t>
    </r>
    <r>
      <rPr>
        <i/>
        <sz val="11"/>
        <rFont val="Times New Roman"/>
        <family val="1"/>
        <charset val="204"/>
      </rPr>
      <t>,  очная  (5-9 классы)</t>
    </r>
  </si>
  <si>
    <r>
      <t xml:space="preserve">образовательная программа, обеспечивающая </t>
    </r>
    <r>
      <rPr>
        <i/>
        <sz val="11"/>
        <color rgb="FF0070C0"/>
        <rFont val="Times New Roman"/>
        <family val="1"/>
        <charset val="204"/>
      </rPr>
      <t>углубленное</t>
    </r>
    <r>
      <rPr>
        <i/>
        <sz val="11"/>
        <rFont val="Times New Roman"/>
        <family val="1"/>
        <charset val="204"/>
      </rPr>
      <t xml:space="preserve"> изучение отдельных учебных предметов, предметных областей (профильное обучение),очная (5-9 классы)</t>
    </r>
  </si>
  <si>
    <r>
      <t xml:space="preserve">образовательная программа, обеспечивающая </t>
    </r>
    <r>
      <rPr>
        <i/>
        <sz val="11"/>
        <color rgb="FF0070C0"/>
        <rFont val="Times New Roman"/>
        <family val="1"/>
        <charset val="204"/>
      </rPr>
      <t>углубленное</t>
    </r>
    <r>
      <rPr>
        <i/>
        <sz val="11"/>
        <rFont val="Times New Roman"/>
        <family val="1"/>
        <charset val="204"/>
      </rPr>
      <t xml:space="preserve"> изучение отдельных учебных предметов, предметных областей (профильное обучение), приходящие обучение по состоянию здоровья </t>
    </r>
    <r>
      <rPr>
        <i/>
        <sz val="11"/>
        <color rgb="FF0070C0"/>
        <rFont val="Times New Roman"/>
        <family val="1"/>
        <charset val="204"/>
      </rPr>
      <t>на дому</t>
    </r>
    <r>
      <rPr>
        <i/>
        <sz val="11"/>
        <rFont val="Times New Roman"/>
        <family val="1"/>
        <charset val="204"/>
      </rPr>
      <t>, очная (5-9 классы)</t>
    </r>
  </si>
  <si>
    <r>
      <rPr>
        <i/>
        <sz val="11"/>
        <color rgb="FF0070C0"/>
        <rFont val="Times New Roman"/>
        <family val="1"/>
        <charset val="204"/>
      </rPr>
      <t>очная</t>
    </r>
    <r>
      <rPr>
        <i/>
        <sz val="11"/>
        <rFont val="Times New Roman"/>
        <family val="1"/>
        <charset val="204"/>
      </rPr>
      <t xml:space="preserve"> с применением</t>
    </r>
    <r>
      <rPr>
        <i/>
        <sz val="11"/>
        <color rgb="FF0070C0"/>
        <rFont val="Times New Roman"/>
        <family val="1"/>
        <charset val="204"/>
      </rPr>
      <t xml:space="preserve"> дистанционных</t>
    </r>
    <r>
      <rPr>
        <i/>
        <sz val="11"/>
        <rFont val="Times New Roman"/>
        <family val="1"/>
        <charset val="204"/>
      </rPr>
      <t xml:space="preserve"> образовательных технологий (5-9 классы)</t>
    </r>
  </si>
  <si>
    <r>
      <rPr>
        <i/>
        <sz val="11"/>
        <color rgb="FF0070C0"/>
        <rFont val="Times New Roman"/>
        <family val="1"/>
        <charset val="204"/>
      </rPr>
      <t>очная</t>
    </r>
    <r>
      <rPr>
        <i/>
        <sz val="11"/>
        <rFont val="Times New Roman"/>
        <family val="1"/>
        <charset val="204"/>
      </rPr>
      <t>, проходящие обучение по состоянию здоровья</t>
    </r>
    <r>
      <rPr>
        <i/>
        <sz val="11"/>
        <color rgb="FF0070C0"/>
        <rFont val="Times New Roman"/>
        <family val="1"/>
        <charset val="204"/>
      </rPr>
      <t xml:space="preserve"> на дому,</t>
    </r>
    <r>
      <rPr>
        <i/>
        <sz val="11"/>
        <rFont val="Times New Roman"/>
        <family val="1"/>
        <charset val="204"/>
      </rPr>
      <t xml:space="preserve"> очная (5-9 классы)</t>
    </r>
  </si>
  <si>
    <r>
      <rPr>
        <i/>
        <sz val="11"/>
        <color rgb="FF0070C0"/>
        <rFont val="Times New Roman"/>
        <family val="1"/>
        <charset val="204"/>
      </rPr>
      <t xml:space="preserve">очная </t>
    </r>
    <r>
      <rPr>
        <i/>
        <sz val="11"/>
        <rFont val="Times New Roman"/>
        <family val="1"/>
        <charset val="204"/>
      </rPr>
      <t>(10-11 классы)</t>
    </r>
  </si>
  <si>
    <r>
      <rPr>
        <i/>
        <sz val="11"/>
        <color rgb="FF0070C0"/>
        <rFont val="Times New Roman"/>
        <family val="1"/>
        <charset val="204"/>
      </rPr>
      <t>адаптированная</t>
    </r>
    <r>
      <rPr>
        <i/>
        <sz val="11"/>
        <rFont val="Times New Roman"/>
        <family val="1"/>
        <charset val="204"/>
      </rPr>
      <t xml:space="preserve"> образовательная программа, обучающиеся с ограниченными возможностями здоровья </t>
    </r>
    <r>
      <rPr>
        <i/>
        <sz val="11"/>
        <color rgb="FF0070C0"/>
        <rFont val="Times New Roman"/>
        <family val="1"/>
        <charset val="204"/>
      </rPr>
      <t>(ОВЗ)</t>
    </r>
    <r>
      <rPr>
        <i/>
        <sz val="11"/>
        <rFont val="Times New Roman"/>
        <family val="1"/>
        <charset val="204"/>
      </rPr>
      <t xml:space="preserve">,  приходящие обучение по состоянию здоровья </t>
    </r>
    <r>
      <rPr>
        <i/>
        <sz val="11"/>
        <color rgb="FF0070C0"/>
        <rFont val="Times New Roman"/>
        <family val="1"/>
        <charset val="204"/>
      </rPr>
      <t>на дому</t>
    </r>
    <r>
      <rPr>
        <i/>
        <sz val="11"/>
        <rFont val="Times New Roman"/>
        <family val="1"/>
        <charset val="204"/>
      </rPr>
      <t xml:space="preserve">,очная с применением </t>
    </r>
    <r>
      <rPr>
        <i/>
        <sz val="11"/>
        <color rgb="FF0070C0"/>
        <rFont val="Times New Roman"/>
        <family val="1"/>
        <charset val="204"/>
      </rPr>
      <t xml:space="preserve">дистанционных </t>
    </r>
    <r>
      <rPr>
        <i/>
        <sz val="11"/>
        <rFont val="Times New Roman"/>
        <family val="1"/>
        <charset val="204"/>
      </rPr>
      <t>образовательных технологий(10-11 классы)</t>
    </r>
  </si>
  <si>
    <r>
      <t xml:space="preserve">образовательная программа, обеспечивающая </t>
    </r>
    <r>
      <rPr>
        <i/>
        <sz val="11"/>
        <color rgb="FF0070C0"/>
        <rFont val="Times New Roman"/>
        <family val="1"/>
        <charset val="204"/>
      </rPr>
      <t>углубленное</t>
    </r>
    <r>
      <rPr>
        <i/>
        <sz val="11"/>
        <rFont val="Times New Roman"/>
        <family val="1"/>
        <charset val="204"/>
      </rPr>
      <t xml:space="preserve"> изучение отдельных учебных предметов, предметных областей (профильное обучение), </t>
    </r>
    <r>
      <rPr>
        <i/>
        <sz val="11"/>
        <color rgb="FF0070C0"/>
        <rFont val="Times New Roman"/>
        <family val="1"/>
        <charset val="204"/>
      </rPr>
      <t>очная (</t>
    </r>
    <r>
      <rPr>
        <i/>
        <sz val="11"/>
        <rFont val="Times New Roman"/>
        <family val="1"/>
        <charset val="204"/>
      </rPr>
      <t>10-11 классы)</t>
    </r>
  </si>
  <si>
    <r>
      <rPr>
        <i/>
        <sz val="11"/>
        <color rgb="FF0070C0"/>
        <rFont val="Times New Roman"/>
        <family val="1"/>
        <charset val="204"/>
      </rPr>
      <t>очная</t>
    </r>
    <r>
      <rPr>
        <i/>
        <sz val="11"/>
        <rFont val="Times New Roman"/>
        <family val="1"/>
        <charset val="204"/>
      </rPr>
      <t>, проходящие обучение по состоянию здоровья</t>
    </r>
    <r>
      <rPr>
        <i/>
        <sz val="11"/>
        <color rgb="FF0070C0"/>
        <rFont val="Times New Roman"/>
        <family val="1"/>
        <charset val="204"/>
      </rPr>
      <t xml:space="preserve"> на дому</t>
    </r>
    <r>
      <rPr>
        <i/>
        <sz val="11"/>
        <rFont val="Times New Roman"/>
        <family val="1"/>
        <charset val="204"/>
      </rPr>
      <t>, очная (10-11 классы)</t>
    </r>
  </si>
  <si>
    <r>
      <rPr>
        <i/>
        <sz val="11"/>
        <color rgb="FF0070C0"/>
        <rFont val="Times New Roman"/>
        <family val="1"/>
        <charset val="204"/>
      </rPr>
      <t>адаптированная</t>
    </r>
    <r>
      <rPr>
        <i/>
        <sz val="11"/>
        <rFont val="Times New Roman"/>
        <family val="1"/>
        <charset val="204"/>
      </rPr>
      <t xml:space="preserve"> образовательная программа, обучающиеся с ограниченными возможностями здоровья </t>
    </r>
    <r>
      <rPr>
        <i/>
        <sz val="11"/>
        <color rgb="FF0070C0"/>
        <rFont val="Times New Roman"/>
        <family val="1"/>
        <charset val="204"/>
      </rPr>
      <t>(ОВЗ)</t>
    </r>
    <r>
      <rPr>
        <i/>
        <sz val="11"/>
        <rFont val="Times New Roman"/>
        <family val="1"/>
        <charset val="204"/>
      </rPr>
      <t>,  очная (10-11 классы)</t>
    </r>
  </si>
  <si>
    <r>
      <t xml:space="preserve">образовательная программа, обеспечивающая </t>
    </r>
    <r>
      <rPr>
        <i/>
        <sz val="11"/>
        <color rgb="FF0070C0"/>
        <rFont val="Times New Roman"/>
        <family val="1"/>
        <charset val="204"/>
      </rPr>
      <t xml:space="preserve">углубленное </t>
    </r>
    <r>
      <rPr>
        <i/>
        <sz val="11"/>
        <rFont val="Times New Roman"/>
        <family val="1"/>
        <charset val="204"/>
      </rPr>
      <t xml:space="preserve">изучение отдельных учебных предметов, предметных областей (профильное обучение),проходящие обучение по состоянию здоровья </t>
    </r>
    <r>
      <rPr>
        <i/>
        <sz val="11"/>
        <color rgb="FF0070C0"/>
        <rFont val="Times New Roman"/>
        <family val="1"/>
        <charset val="204"/>
      </rPr>
      <t>на дому</t>
    </r>
    <r>
      <rPr>
        <i/>
        <sz val="11"/>
        <rFont val="Times New Roman"/>
        <family val="1"/>
        <charset val="204"/>
      </rPr>
      <t>(10-11 классы)</t>
    </r>
  </si>
  <si>
    <r>
      <t>образовательная программа, проходящие обучение по состоянию здоровья на</t>
    </r>
    <r>
      <rPr>
        <i/>
        <sz val="11"/>
        <color rgb="FF0070C0"/>
        <rFont val="Times New Roman"/>
        <family val="1"/>
        <charset val="204"/>
      </rPr>
      <t xml:space="preserve"> дому</t>
    </r>
    <r>
      <rPr>
        <i/>
        <sz val="11"/>
        <rFont val="Times New Roman"/>
        <family val="1"/>
        <charset val="204"/>
      </rPr>
      <t xml:space="preserve">, очная с применением </t>
    </r>
    <r>
      <rPr>
        <i/>
        <sz val="11"/>
        <color rgb="FF0070C0"/>
        <rFont val="Times New Roman"/>
        <family val="1"/>
        <charset val="204"/>
      </rPr>
      <t>дистанционных</t>
    </r>
    <r>
      <rPr>
        <i/>
        <sz val="11"/>
        <rFont val="Times New Roman"/>
        <family val="1"/>
        <charset val="204"/>
      </rPr>
      <t xml:space="preserve"> образовательных технологий (5-9 классы)</t>
    </r>
  </si>
  <si>
    <r>
      <t xml:space="preserve">в каникулярное время с </t>
    </r>
    <r>
      <rPr>
        <i/>
        <sz val="11"/>
        <color rgb="FF0070C0"/>
        <rFont val="Times New Roman"/>
        <family val="1"/>
        <charset val="204"/>
      </rPr>
      <t xml:space="preserve">круглосуточным  </t>
    </r>
    <r>
      <rPr>
        <i/>
        <sz val="11"/>
        <rFont val="Times New Roman"/>
        <family val="1"/>
        <charset val="204"/>
      </rPr>
      <t>пребыванием</t>
    </r>
  </si>
  <si>
    <t xml:space="preserve">Информация об исполнении муниципальных заданий муниципальными учреждениями города Урай за 2018 год                                 </t>
  </si>
  <si>
    <t>Исполнение               за 2018 год</t>
  </si>
  <si>
    <t>Первоначально утвержденное плановое значение на 2018 год</t>
  </si>
  <si>
    <t>Объем тиража (штук газет)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</si>
  <si>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</si>
  <si>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r>
      <t xml:space="preserve">МБУ "Молодежный центр" </t>
    </r>
    <r>
      <rPr>
        <sz val="11"/>
        <rFont val="Times New Roman"/>
        <family val="1"/>
        <charset val="204"/>
      </rPr>
      <t>(перенос ассигнований с МЗ на иные цели (пособие по сокращению))</t>
    </r>
  </si>
  <si>
    <t>единиц</t>
  </si>
  <si>
    <t>Муниципальная программа "Совершенствование и развитие муниципального управления в городе Урай" на 2018-2030 годы</t>
  </si>
</sst>
</file>

<file path=xl/styles.xml><?xml version="1.0" encoding="utf-8"?>
<styleSheet xmlns="http://schemas.openxmlformats.org/spreadsheetml/2006/main">
  <numFmts count="11">
    <numFmt numFmtId="41" formatCode="_-* #,##0\ _₽_-;\-* #,##0\ _₽_-;_-* &quot;-&quot;\ _₽_-;_-@_-"/>
    <numFmt numFmtId="164" formatCode="_(* #,##0.00_);_(* \(#,##0.00\);_(* &quot;-&quot;??_);_(@_)"/>
    <numFmt numFmtId="165" formatCode="_(* #,##0.0_);_(* \(#,##0.0\);_(* &quot;-&quot;??_);_(@_)"/>
    <numFmt numFmtId="166" formatCode="_-* #,##0.0_р_._-;\-* #,##0.0_р_._-;_-* &quot;-&quot;?_р_._-;_-@_-"/>
    <numFmt numFmtId="167" formatCode="_-* #,##0_р_._-;\-* #,##0_р_._-;_-* &quot;-&quot;?_р_._-;_-@_-"/>
    <numFmt numFmtId="168" formatCode="_-* #,##0.0\ _₽_-;\-* #,##0.0\ _₽_-;_-* &quot;-&quot;?\ _₽_-;_-@_-"/>
    <numFmt numFmtId="169" formatCode="_(* #,##0_);_(* \(#,##0\);_(* &quot;-&quot;??_);_(@_)"/>
    <numFmt numFmtId="170" formatCode="#,##0.0"/>
    <numFmt numFmtId="171" formatCode="_-* #,##0.0\ _₽_-;\-* #,##0.0\ _₽_-;_-* &quot;-&quot;\ _₽_-;_-@_-"/>
    <numFmt numFmtId="172" formatCode="#,##0.0_ ;\-#,##0.0\ "/>
    <numFmt numFmtId="173" formatCode="#,##0\ _₽"/>
  </numFmts>
  <fonts count="22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i/>
      <sz val="11"/>
      <color rgb="FF0070C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191">
    <xf numFmtId="0" fontId="0" fillId="0" borderId="0" xfId="0"/>
    <xf numFmtId="0" fontId="6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9" fillId="0" borderId="1" xfId="0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9" fillId="0" borderId="0" xfId="0" applyFont="1"/>
    <xf numFmtId="0" fontId="11" fillId="0" borderId="0" xfId="0" applyFont="1"/>
    <xf numFmtId="49" fontId="10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left" wrapText="1" shrinkToFit="1"/>
    </xf>
    <xf numFmtId="165" fontId="10" fillId="2" borderId="1" xfId="1" applyNumberFormat="1" applyFont="1" applyFill="1" applyBorder="1" applyAlignment="1">
      <alignment horizontal="center"/>
    </xf>
    <xf numFmtId="0" fontId="12" fillId="0" borderId="0" xfId="0" applyFont="1"/>
    <xf numFmtId="49" fontId="13" fillId="0" borderId="1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left" wrapText="1" shrinkToFit="1"/>
    </xf>
    <xf numFmtId="165" fontId="13" fillId="2" borderId="1" xfId="1" applyNumberFormat="1" applyFont="1" applyFill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left"/>
    </xf>
    <xf numFmtId="49" fontId="10" fillId="2" borderId="1" xfId="0" applyNumberFormat="1" applyFont="1" applyFill="1" applyBorder="1" applyAlignment="1">
      <alignment horizontal="left" wrapText="1" shrinkToFit="1"/>
    </xf>
    <xf numFmtId="0" fontId="10" fillId="2" borderId="0" xfId="0" applyFont="1" applyFill="1"/>
    <xf numFmtId="0" fontId="10" fillId="0" borderId="0" xfId="0" applyFont="1"/>
    <xf numFmtId="49" fontId="10" fillId="2" borderId="1" xfId="0" applyNumberFormat="1" applyFont="1" applyFill="1" applyBorder="1" applyAlignment="1">
      <alignment horizontal="center"/>
    </xf>
    <xf numFmtId="0" fontId="13" fillId="0" borderId="0" xfId="0" applyFont="1"/>
    <xf numFmtId="165" fontId="10" fillId="2" borderId="1" xfId="1" applyNumberFormat="1" applyFont="1" applyFill="1" applyBorder="1" applyAlignment="1">
      <alignment horizontal="center" wrapText="1"/>
    </xf>
    <xf numFmtId="0" fontId="9" fillId="0" borderId="0" xfId="0" applyFont="1" applyFill="1"/>
    <xf numFmtId="49" fontId="10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left" wrapText="1" shrinkToFit="1"/>
    </xf>
    <xf numFmtId="41" fontId="10" fillId="0" borderId="1" xfId="0" applyNumberFormat="1" applyFont="1" applyFill="1" applyBorder="1" applyAlignment="1">
      <alignment wrapText="1"/>
    </xf>
    <xf numFmtId="49" fontId="13" fillId="0" borderId="1" xfId="0" applyNumberFormat="1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left" wrapText="1" shrinkToFit="1"/>
    </xf>
    <xf numFmtId="165" fontId="13" fillId="0" borderId="1" xfId="1" applyNumberFormat="1" applyFont="1" applyFill="1" applyBorder="1" applyAlignment="1">
      <alignment horizontal="center" wrapText="1"/>
    </xf>
    <xf numFmtId="165" fontId="10" fillId="0" borderId="1" xfId="1" applyNumberFormat="1" applyFont="1" applyFill="1" applyBorder="1" applyAlignment="1">
      <alignment horizontal="center" wrapText="1"/>
    </xf>
    <xf numFmtId="165" fontId="10" fillId="0" borderId="1" xfId="1" applyNumberFormat="1" applyFont="1" applyFill="1" applyBorder="1" applyAlignment="1">
      <alignment horizontal="center"/>
    </xf>
    <xf numFmtId="165" fontId="13" fillId="0" borderId="1" xfId="1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49" fontId="10" fillId="0" borderId="1" xfId="0" applyNumberFormat="1" applyFont="1" applyFill="1" applyBorder="1" applyAlignment="1">
      <alignment horizontal="left" vertical="center" wrapText="1" shrinkToFit="1"/>
    </xf>
    <xf numFmtId="165" fontId="10" fillId="0" borderId="1" xfId="1" applyNumberFormat="1" applyFont="1" applyFill="1" applyBorder="1" applyAlignment="1">
      <alignment horizontal="center" vertical="center"/>
    </xf>
    <xf numFmtId="172" fontId="9" fillId="0" borderId="0" xfId="0" applyNumberFormat="1" applyFont="1"/>
    <xf numFmtId="168" fontId="9" fillId="2" borderId="0" xfId="0" applyNumberFormat="1" applyFont="1" applyFill="1"/>
    <xf numFmtId="0" fontId="12" fillId="0" borderId="0" xfId="0" applyFont="1" applyFill="1"/>
    <xf numFmtId="41" fontId="10" fillId="0" borderId="1" xfId="1" applyNumberFormat="1" applyFont="1" applyFill="1" applyBorder="1" applyAlignment="1"/>
    <xf numFmtId="49" fontId="10" fillId="0" borderId="1" xfId="0" applyNumberFormat="1" applyFont="1" applyFill="1" applyBorder="1" applyAlignment="1">
      <alignment horizontal="center" wrapText="1" shrinkToFit="1"/>
    </xf>
    <xf numFmtId="3" fontId="9" fillId="0" borderId="1" xfId="0" applyNumberFormat="1" applyFont="1" applyBorder="1" applyAlignment="1">
      <alignment horizontal="center" vertical="center" wrapText="1" shrinkToFit="1"/>
    </xf>
    <xf numFmtId="2" fontId="9" fillId="0" borderId="0" xfId="0" applyNumberFormat="1" applyFont="1"/>
    <xf numFmtId="2" fontId="9" fillId="0" borderId="1" xfId="0" applyNumberFormat="1" applyFont="1" applyBorder="1" applyAlignment="1">
      <alignment horizontal="center" vertical="center" wrapText="1" shrinkToFit="1"/>
    </xf>
    <xf numFmtId="0" fontId="11" fillId="2" borderId="0" xfId="0" applyFont="1" applyFill="1"/>
    <xf numFmtId="41" fontId="10" fillId="2" borderId="1" xfId="1" applyNumberFormat="1" applyFont="1" applyFill="1" applyBorder="1" applyAlignment="1"/>
    <xf numFmtId="166" fontId="10" fillId="2" borderId="1" xfId="1" applyNumberFormat="1" applyFont="1" applyFill="1" applyBorder="1" applyAlignment="1"/>
    <xf numFmtId="41" fontId="13" fillId="2" borderId="1" xfId="1" applyNumberFormat="1" applyFont="1" applyFill="1" applyBorder="1" applyAlignment="1"/>
    <xf numFmtId="166" fontId="13" fillId="2" borderId="1" xfId="1" applyNumberFormat="1" applyFont="1" applyFill="1" applyBorder="1" applyAlignment="1"/>
    <xf numFmtId="167" fontId="10" fillId="0" borderId="1" xfId="1" applyNumberFormat="1" applyFont="1" applyFill="1" applyBorder="1" applyAlignment="1"/>
    <xf numFmtId="169" fontId="10" fillId="0" borderId="1" xfId="1" applyNumberFormat="1" applyFont="1" applyFill="1" applyBorder="1" applyAlignment="1"/>
    <xf numFmtId="165" fontId="10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 shrinkToFit="1"/>
    </xf>
    <xf numFmtId="173" fontId="10" fillId="0" borderId="1" xfId="0" applyNumberFormat="1" applyFont="1" applyBorder="1" applyAlignment="1">
      <alignment wrapText="1" shrinkToFit="1"/>
    </xf>
    <xf numFmtId="173" fontId="13" fillId="2" borderId="1" xfId="1" applyNumberFormat="1" applyFont="1" applyFill="1" applyBorder="1" applyAlignment="1"/>
    <xf numFmtId="173" fontId="10" fillId="2" borderId="1" xfId="1" applyNumberFormat="1" applyFont="1" applyFill="1" applyBorder="1" applyAlignment="1"/>
    <xf numFmtId="173" fontId="13" fillId="0" borderId="1" xfId="0" applyNumberFormat="1" applyFont="1" applyBorder="1" applyAlignment="1">
      <alignment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16" fillId="2" borderId="0" xfId="0" applyFont="1" applyFill="1"/>
    <xf numFmtId="0" fontId="16" fillId="0" borderId="0" xfId="0" applyFont="1"/>
    <xf numFmtId="0" fontId="17" fillId="0" borderId="0" xfId="0" applyFont="1" applyFill="1"/>
    <xf numFmtId="0" fontId="18" fillId="0" borderId="0" xfId="0" applyFont="1" applyFill="1"/>
    <xf numFmtId="0" fontId="18" fillId="0" borderId="0" xfId="0" applyFont="1" applyFill="1" applyBorder="1"/>
    <xf numFmtId="0" fontId="17" fillId="2" borderId="0" xfId="0" applyFont="1" applyFill="1"/>
    <xf numFmtId="0" fontId="18" fillId="2" borderId="0" xfId="0" applyFont="1" applyFill="1"/>
    <xf numFmtId="0" fontId="9" fillId="2" borderId="0" xfId="0" applyFont="1" applyFill="1"/>
    <xf numFmtId="0" fontId="11" fillId="0" borderId="0" xfId="0" applyFont="1" applyFill="1"/>
    <xf numFmtId="49" fontId="10" fillId="0" borderId="1" xfId="0" applyNumberFormat="1" applyFont="1" applyFill="1" applyBorder="1" applyAlignment="1">
      <alignment horizontal="right"/>
    </xf>
    <xf numFmtId="49" fontId="13" fillId="0" borderId="1" xfId="0" applyNumberFormat="1" applyFont="1" applyFill="1" applyBorder="1" applyAlignment="1">
      <alignment horizontal="right"/>
    </xf>
    <xf numFmtId="41" fontId="13" fillId="0" borderId="1" xfId="0" applyNumberFormat="1" applyFont="1" applyFill="1" applyBorder="1" applyAlignment="1">
      <alignment wrapText="1"/>
    </xf>
    <xf numFmtId="165" fontId="15" fillId="0" borderId="1" xfId="1" applyNumberFormat="1" applyFont="1" applyFill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right"/>
    </xf>
    <xf numFmtId="49" fontId="13" fillId="2" borderId="1" xfId="0" applyNumberFormat="1" applyFont="1" applyFill="1" applyBorder="1" applyAlignment="1">
      <alignment horizontal="left" wrapText="1" shrinkToFit="1"/>
    </xf>
    <xf numFmtId="49" fontId="15" fillId="0" borderId="1" xfId="0" applyNumberFormat="1" applyFont="1" applyFill="1" applyBorder="1" applyAlignment="1">
      <alignment horizontal="right"/>
    </xf>
    <xf numFmtId="49" fontId="13" fillId="0" borderId="1" xfId="0" applyNumberFormat="1" applyFont="1" applyFill="1" applyBorder="1" applyAlignment="1">
      <alignment horizontal="right" wrapText="1" shrinkToFit="1"/>
    </xf>
    <xf numFmtId="0" fontId="12" fillId="0" borderId="0" xfId="0" applyFont="1" applyFill="1" applyBorder="1"/>
    <xf numFmtId="165" fontId="13" fillId="2" borderId="1" xfId="1" applyNumberFormat="1" applyFont="1" applyFill="1" applyBorder="1" applyAlignment="1">
      <alignment horizontal="center" wrapText="1"/>
    </xf>
    <xf numFmtId="0" fontId="12" fillId="2" borderId="0" xfId="0" applyFont="1" applyFill="1"/>
    <xf numFmtId="0" fontId="12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166" fontId="13" fillId="2" borderId="1" xfId="1" applyNumberFormat="1" applyFont="1" applyFill="1" applyBorder="1" applyAlignment="1">
      <alignment horizontal="center"/>
    </xf>
    <xf numFmtId="165" fontId="15" fillId="0" borderId="1" xfId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167" fontId="10" fillId="2" borderId="1" xfId="1" applyNumberFormat="1" applyFont="1" applyFill="1" applyBorder="1" applyAlignment="1"/>
    <xf numFmtId="167" fontId="13" fillId="2" borderId="1" xfId="1" applyNumberFormat="1" applyFont="1" applyFill="1" applyBorder="1" applyAlignment="1"/>
    <xf numFmtId="0" fontId="9" fillId="0" borderId="1" xfId="0" applyFont="1" applyBorder="1" applyAlignment="1">
      <alignment horizontal="center" vertical="center" wrapText="1" shrinkToFit="1"/>
    </xf>
    <xf numFmtId="0" fontId="9" fillId="0" borderId="0" xfId="0" applyFont="1" applyAlignment="1">
      <alignment horizontal="center"/>
    </xf>
    <xf numFmtId="0" fontId="3" fillId="2" borderId="0" xfId="0" applyFont="1" applyFill="1"/>
    <xf numFmtId="49" fontId="10" fillId="0" borderId="1" xfId="0" applyNumberFormat="1" applyFont="1" applyFill="1" applyBorder="1" applyAlignment="1">
      <alignment wrapText="1" shrinkToFit="1"/>
    </xf>
    <xf numFmtId="0" fontId="3" fillId="0" borderId="0" xfId="0" applyFont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right"/>
    </xf>
    <xf numFmtId="170" fontId="6" fillId="3" borderId="1" xfId="0" applyNumberFormat="1" applyFont="1" applyFill="1" applyBorder="1" applyAlignment="1">
      <alignment horizontal="center"/>
    </xf>
    <xf numFmtId="167" fontId="7" fillId="3" borderId="0" xfId="0" applyNumberFormat="1" applyFont="1" applyFill="1"/>
    <xf numFmtId="0" fontId="7" fillId="3" borderId="0" xfId="0" applyFont="1" applyFill="1"/>
    <xf numFmtId="49" fontId="6" fillId="3" borderId="1" xfId="0" applyNumberFormat="1" applyFont="1" applyFill="1" applyBorder="1" applyAlignment="1">
      <alignment horizontal="center"/>
    </xf>
    <xf numFmtId="0" fontId="6" fillId="3" borderId="1" xfId="0" applyNumberFormat="1" applyFont="1" applyFill="1" applyBorder="1" applyAlignment="1">
      <alignment wrapText="1" shrinkToFit="1"/>
    </xf>
    <xf numFmtId="49" fontId="10" fillId="3" borderId="1" xfId="0" applyNumberFormat="1" applyFont="1" applyFill="1" applyBorder="1" applyAlignment="1">
      <alignment horizontal="center" wrapText="1" shrinkToFit="1"/>
    </xf>
    <xf numFmtId="0" fontId="10" fillId="3" borderId="0" xfId="0" applyFont="1" applyFill="1"/>
    <xf numFmtId="0" fontId="6" fillId="3" borderId="1" xfId="0" applyFont="1" applyFill="1" applyBorder="1" applyAlignment="1">
      <alignment horizontal="left" vertical="center" wrapText="1"/>
    </xf>
    <xf numFmtId="3" fontId="10" fillId="3" borderId="1" xfId="0" applyNumberFormat="1" applyFont="1" applyFill="1" applyBorder="1" applyAlignment="1">
      <alignment horizontal="right" wrapText="1" shrinkToFit="1"/>
    </xf>
    <xf numFmtId="167" fontId="6" fillId="3" borderId="1" xfId="1" applyNumberFormat="1" applyFont="1" applyFill="1" applyBorder="1" applyAlignment="1">
      <alignment horizontal="right"/>
    </xf>
    <xf numFmtId="0" fontId="5" fillId="3" borderId="0" xfId="0" applyFont="1" applyFill="1"/>
    <xf numFmtId="49" fontId="6" fillId="3" borderId="1" xfId="0" applyNumberFormat="1" applyFont="1" applyFill="1" applyBorder="1" applyAlignment="1">
      <alignment horizontal="left" wrapText="1" shrinkToFit="1"/>
    </xf>
    <xf numFmtId="49" fontId="6" fillId="3" borderId="1" xfId="0" applyNumberFormat="1" applyFont="1" applyFill="1" applyBorder="1" applyAlignment="1">
      <alignment vertical="center" wrapText="1" shrinkToFit="1"/>
    </xf>
    <xf numFmtId="49" fontId="10" fillId="3" borderId="1" xfId="0" applyNumberFormat="1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left" vertical="center" wrapText="1" shrinkToFit="1"/>
    </xf>
    <xf numFmtId="165" fontId="10" fillId="3" borderId="1" xfId="1" applyNumberFormat="1" applyFont="1" applyFill="1" applyBorder="1" applyAlignment="1">
      <alignment horizontal="center" wrapText="1"/>
    </xf>
    <xf numFmtId="1" fontId="10" fillId="3" borderId="1" xfId="1" applyNumberFormat="1" applyFont="1" applyFill="1" applyBorder="1" applyAlignment="1">
      <alignment horizontal="right" wrapText="1"/>
    </xf>
    <xf numFmtId="41" fontId="6" fillId="3" borderId="1" xfId="1" applyNumberFormat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 wrapText="1" shrinkToFit="1"/>
    </xf>
    <xf numFmtId="0" fontId="10" fillId="3" borderId="1" xfId="0" applyFont="1" applyFill="1" applyBorder="1"/>
    <xf numFmtId="41" fontId="6" fillId="3" borderId="1" xfId="0" applyNumberFormat="1" applyFont="1" applyFill="1" applyBorder="1" applyAlignment="1"/>
    <xf numFmtId="49" fontId="10" fillId="4" borderId="1" xfId="0" applyNumberFormat="1" applyFont="1" applyFill="1" applyBorder="1" applyAlignment="1">
      <alignment horizontal="center"/>
    </xf>
    <xf numFmtId="49" fontId="10" fillId="4" borderId="1" xfId="0" applyNumberFormat="1" applyFont="1" applyFill="1" applyBorder="1" applyAlignment="1">
      <alignment horizontal="left" wrapText="1" shrinkToFit="1"/>
    </xf>
    <xf numFmtId="165" fontId="9" fillId="4" borderId="1" xfId="1" applyNumberFormat="1" applyFont="1" applyFill="1" applyBorder="1"/>
    <xf numFmtId="165" fontId="10" fillId="4" borderId="1" xfId="1" applyNumberFormat="1" applyFont="1" applyFill="1" applyBorder="1" applyAlignment="1">
      <alignment horizontal="right"/>
    </xf>
    <xf numFmtId="41" fontId="10" fillId="4" borderId="1" xfId="1" applyNumberFormat="1" applyFont="1" applyFill="1" applyBorder="1" applyAlignment="1">
      <alignment horizontal="right"/>
    </xf>
    <xf numFmtId="3" fontId="10" fillId="4" borderId="1" xfId="1" applyNumberFormat="1" applyFont="1" applyFill="1" applyBorder="1" applyAlignment="1">
      <alignment horizontal="right"/>
    </xf>
    <xf numFmtId="166" fontId="10" fillId="4" borderId="1" xfId="1" applyNumberFormat="1" applyFont="1" applyFill="1" applyBorder="1" applyAlignment="1">
      <alignment horizontal="right"/>
    </xf>
    <xf numFmtId="49" fontId="9" fillId="4" borderId="1" xfId="0" applyNumberFormat="1" applyFont="1" applyFill="1" applyBorder="1" applyAlignment="1">
      <alignment horizontal="left" wrapText="1" shrinkToFit="1"/>
    </xf>
    <xf numFmtId="165" fontId="9" fillId="4" borderId="1" xfId="1" applyNumberFormat="1" applyFont="1" applyFill="1" applyBorder="1" applyAlignment="1">
      <alignment horizontal="center"/>
    </xf>
    <xf numFmtId="0" fontId="10" fillId="4" borderId="1" xfId="0" applyFont="1" applyFill="1" applyBorder="1" applyAlignment="1"/>
    <xf numFmtId="49" fontId="10" fillId="4" borderId="1" xfId="0" applyNumberFormat="1" applyFont="1" applyFill="1" applyBorder="1" applyAlignment="1">
      <alignment horizontal="left" vertical="center" wrapText="1" shrinkToFit="1"/>
    </xf>
    <xf numFmtId="169" fontId="19" fillId="4" borderId="1" xfId="1" applyNumberFormat="1" applyFont="1" applyFill="1" applyBorder="1" applyAlignment="1">
      <alignment horizontal="center" vertical="center"/>
    </xf>
    <xf numFmtId="170" fontId="10" fillId="3" borderId="1" xfId="0" applyNumberFormat="1" applyFont="1" applyFill="1" applyBorder="1" applyAlignment="1">
      <alignment horizontal="center"/>
    </xf>
    <xf numFmtId="166" fontId="10" fillId="4" borderId="1" xfId="1" applyNumberFormat="1" applyFont="1" applyFill="1" applyBorder="1" applyAlignment="1">
      <alignment horizontal="center"/>
    </xf>
    <xf numFmtId="166" fontId="10" fillId="2" borderId="1" xfId="1" applyNumberFormat="1" applyFont="1" applyFill="1" applyBorder="1" applyAlignment="1">
      <alignment horizontal="center"/>
    </xf>
    <xf numFmtId="166" fontId="10" fillId="3" borderId="1" xfId="1" applyNumberFormat="1" applyFont="1" applyFill="1" applyBorder="1" applyAlignment="1">
      <alignment horizontal="center"/>
    </xf>
    <xf numFmtId="166" fontId="10" fillId="0" borderId="1" xfId="1" applyNumberFormat="1" applyFont="1" applyFill="1" applyBorder="1" applyAlignment="1">
      <alignment horizontal="center"/>
    </xf>
    <xf numFmtId="165" fontId="10" fillId="3" borderId="1" xfId="1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left" wrapText="1"/>
    </xf>
    <xf numFmtId="49" fontId="13" fillId="4" borderId="1" xfId="0" applyNumberFormat="1" applyFont="1" applyFill="1" applyBorder="1" applyAlignment="1">
      <alignment horizontal="right"/>
    </xf>
    <xf numFmtId="49" fontId="13" fillId="4" borderId="1" xfId="0" applyNumberFormat="1" applyFont="1" applyFill="1" applyBorder="1" applyAlignment="1">
      <alignment horizontal="left" wrapText="1" shrinkToFit="1"/>
    </xf>
    <xf numFmtId="165" fontId="13" fillId="4" borderId="1" xfId="1" applyNumberFormat="1" applyFont="1" applyFill="1" applyBorder="1" applyAlignment="1">
      <alignment horizontal="center" wrapText="1"/>
    </xf>
    <xf numFmtId="41" fontId="13" fillId="4" borderId="1" xfId="0" applyNumberFormat="1" applyFont="1" applyFill="1" applyBorder="1" applyAlignment="1">
      <alignment wrapText="1"/>
    </xf>
    <xf numFmtId="165" fontId="13" fillId="4" borderId="1" xfId="1" applyNumberFormat="1" applyFont="1" applyFill="1" applyBorder="1" applyAlignment="1">
      <alignment horizontal="center"/>
    </xf>
    <xf numFmtId="167" fontId="10" fillId="4" borderId="1" xfId="1" applyNumberFormat="1" applyFont="1" applyFill="1" applyBorder="1" applyAlignment="1"/>
    <xf numFmtId="166" fontId="10" fillId="4" borderId="1" xfId="1" applyNumberFormat="1" applyFont="1" applyFill="1" applyBorder="1" applyAlignment="1"/>
    <xf numFmtId="167" fontId="6" fillId="3" borderId="1" xfId="1" applyNumberFormat="1" applyFont="1" applyFill="1" applyBorder="1" applyAlignment="1"/>
    <xf numFmtId="166" fontId="6" fillId="3" borderId="1" xfId="1" applyNumberFormat="1" applyFont="1" applyFill="1" applyBorder="1" applyAlignment="1"/>
    <xf numFmtId="41" fontId="10" fillId="4" borderId="1" xfId="1" applyNumberFormat="1" applyFont="1" applyFill="1" applyBorder="1" applyAlignment="1"/>
    <xf numFmtId="167" fontId="13" fillId="0" borderId="1" xfId="0" applyNumberFormat="1" applyFont="1" applyBorder="1" applyAlignment="1"/>
    <xf numFmtId="167" fontId="9" fillId="4" borderId="1" xfId="0" applyNumberFormat="1" applyFont="1" applyFill="1" applyBorder="1" applyAlignment="1"/>
    <xf numFmtId="167" fontId="10" fillId="2" borderId="1" xfId="0" applyNumberFormat="1" applyFont="1" applyFill="1" applyBorder="1" applyAlignment="1"/>
    <xf numFmtId="167" fontId="9" fillId="4" borderId="1" xfId="1" applyNumberFormat="1" applyFont="1" applyFill="1" applyBorder="1" applyAlignment="1"/>
    <xf numFmtId="167" fontId="10" fillId="0" borderId="1" xfId="1" applyNumberFormat="1" applyFont="1" applyBorder="1" applyAlignment="1"/>
    <xf numFmtId="3" fontId="6" fillId="3" borderId="1" xfId="1" applyNumberFormat="1" applyFont="1" applyFill="1" applyBorder="1" applyAlignment="1"/>
    <xf numFmtId="165" fontId="6" fillId="3" borderId="1" xfId="1" applyNumberFormat="1" applyFont="1" applyFill="1" applyBorder="1" applyAlignment="1"/>
    <xf numFmtId="165" fontId="10" fillId="4" borderId="1" xfId="1" applyNumberFormat="1" applyFont="1" applyFill="1" applyBorder="1" applyAlignment="1">
      <alignment horizontal="center"/>
    </xf>
    <xf numFmtId="165" fontId="6" fillId="4" borderId="1" xfId="1" applyNumberFormat="1" applyFont="1" applyFill="1" applyBorder="1" applyAlignment="1"/>
    <xf numFmtId="165" fontId="6" fillId="0" borderId="1" xfId="1" applyNumberFormat="1" applyFont="1" applyFill="1" applyBorder="1" applyAlignment="1"/>
    <xf numFmtId="41" fontId="13" fillId="0" borderId="1" xfId="1" applyNumberFormat="1" applyFont="1" applyFill="1" applyBorder="1" applyAlignment="1"/>
    <xf numFmtId="165" fontId="8" fillId="0" borderId="1" xfId="1" applyNumberFormat="1" applyFont="1" applyFill="1" applyBorder="1" applyAlignment="1"/>
    <xf numFmtId="41" fontId="13" fillId="0" borderId="1" xfId="0" applyNumberFormat="1" applyFont="1" applyFill="1" applyBorder="1" applyAlignment="1"/>
    <xf numFmtId="41" fontId="10" fillId="0" borderId="1" xfId="0" applyNumberFormat="1" applyFont="1" applyFill="1" applyBorder="1" applyAlignment="1"/>
    <xf numFmtId="41" fontId="13" fillId="4" borderId="1" xfId="1" applyNumberFormat="1" applyFont="1" applyFill="1" applyBorder="1" applyAlignment="1"/>
    <xf numFmtId="165" fontId="8" fillId="4" borderId="1" xfId="1" applyNumberFormat="1" applyFont="1" applyFill="1" applyBorder="1" applyAlignment="1"/>
    <xf numFmtId="41" fontId="13" fillId="4" borderId="1" xfId="0" applyNumberFormat="1" applyFont="1" applyFill="1" applyBorder="1" applyAlignment="1"/>
    <xf numFmtId="41" fontId="10" fillId="2" borderId="1" xfId="0" applyNumberFormat="1" applyFont="1" applyFill="1" applyBorder="1" applyAlignment="1"/>
    <xf numFmtId="41" fontId="13" fillId="2" borderId="1" xfId="0" applyNumberFormat="1" applyFont="1" applyFill="1" applyBorder="1" applyAlignment="1"/>
    <xf numFmtId="165" fontId="21" fillId="0" borderId="1" xfId="1" applyNumberFormat="1" applyFont="1" applyFill="1" applyBorder="1" applyAlignment="1"/>
    <xf numFmtId="169" fontId="10" fillId="0" borderId="1" xfId="1" applyNumberFormat="1" applyFont="1" applyBorder="1" applyAlignment="1"/>
    <xf numFmtId="165" fontId="10" fillId="0" borderId="1" xfId="1" applyNumberFormat="1" applyFont="1" applyBorder="1" applyAlignment="1"/>
    <xf numFmtId="169" fontId="13" fillId="0" borderId="1" xfId="1" applyNumberFormat="1" applyFont="1" applyBorder="1" applyAlignment="1"/>
    <xf numFmtId="165" fontId="13" fillId="0" borderId="1" xfId="1" applyNumberFormat="1" applyFont="1" applyBorder="1" applyAlignment="1"/>
    <xf numFmtId="171" fontId="6" fillId="3" borderId="1" xfId="1" applyNumberFormat="1" applyFont="1" applyFill="1" applyBorder="1" applyAlignment="1"/>
    <xf numFmtId="0" fontId="10" fillId="0" borderId="1" xfId="0" applyNumberFormat="1" applyFont="1" applyFill="1" applyBorder="1" applyAlignment="1">
      <alignment horizontal="left" wrapText="1" shrinkToFit="1"/>
    </xf>
    <xf numFmtId="49" fontId="10" fillId="4" borderId="1" xfId="0" applyNumberFormat="1" applyFont="1" applyFill="1" applyBorder="1" applyAlignment="1"/>
    <xf numFmtId="41" fontId="9" fillId="4" borderId="1" xfId="1" applyNumberFormat="1" applyFont="1" applyFill="1" applyBorder="1"/>
    <xf numFmtId="165" fontId="10" fillId="4" borderId="1" xfId="1" applyNumberFormat="1" applyFont="1" applyFill="1" applyBorder="1" applyAlignment="1"/>
    <xf numFmtId="169" fontId="10" fillId="4" borderId="1" xfId="1" applyNumberFormat="1" applyFont="1" applyFill="1" applyBorder="1" applyAlignment="1"/>
    <xf numFmtId="49" fontId="9" fillId="4" borderId="1" xfId="0" applyNumberFormat="1" applyFont="1" applyFill="1" applyBorder="1" applyAlignment="1">
      <alignment horizontal="center"/>
    </xf>
    <xf numFmtId="169" fontId="10" fillId="4" borderId="1" xfId="1" applyNumberFormat="1" applyFont="1" applyFill="1" applyBorder="1" applyAlignment="1">
      <alignment horizontal="right" wrapText="1" shrinkToFit="1"/>
    </xf>
    <xf numFmtId="167" fontId="10" fillId="4" borderId="1" xfId="1" applyNumberFormat="1" applyFont="1" applyFill="1" applyBorder="1" applyAlignment="1">
      <alignment horizontal="right"/>
    </xf>
    <xf numFmtId="171" fontId="10" fillId="4" borderId="1" xfId="1" applyNumberFormat="1" applyFont="1" applyFill="1" applyBorder="1" applyAlignment="1"/>
    <xf numFmtId="41" fontId="6" fillId="3" borderId="1" xfId="1" applyNumberFormat="1" applyFont="1" applyFill="1" applyBorder="1" applyAlignment="1"/>
    <xf numFmtId="49" fontId="13" fillId="0" borderId="1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left" vertical="center" wrapText="1" shrinkToFit="1"/>
    </xf>
    <xf numFmtId="0" fontId="0" fillId="0" borderId="1" xfId="0" applyBorder="1" applyAlignment="1">
      <alignment horizontal="left"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9" fillId="0" borderId="2" xfId="0" quotePrefix="1" applyFont="1" applyBorder="1" applyAlignment="1">
      <alignment horizontal="center" vertical="center" wrapText="1" shrinkToFit="1"/>
    </xf>
    <xf numFmtId="0" fontId="9" fillId="0" borderId="3" xfId="0" quotePrefix="1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4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13"/>
  <sheetViews>
    <sheetView tabSelected="1" view="pageBreakPreview" zoomScale="75" zoomScaleNormal="90" zoomScaleSheetLayoutView="75" workbookViewId="0">
      <pane xSplit="2" ySplit="6" topLeftCell="C97" activePane="bottomRight" state="frozen"/>
      <selection pane="topRight" activeCell="C1" sqref="C1"/>
      <selection pane="bottomLeft" activeCell="A7" sqref="A7"/>
      <selection pane="bottomRight" activeCell="B23" sqref="B23"/>
    </sheetView>
  </sheetViews>
  <sheetFormatPr defaultColWidth="8" defaultRowHeight="16.5"/>
  <cols>
    <col min="1" max="1" width="6" style="34" customWidth="1"/>
    <col min="2" max="2" width="99.140625" style="35" customWidth="1"/>
    <col min="3" max="3" width="27.28515625" style="12" customWidth="1"/>
    <col min="4" max="4" width="18.5703125" style="44" customWidth="1"/>
    <col min="5" max="5" width="15.7109375" style="4" customWidth="1"/>
    <col min="6" max="6" width="16" style="4" customWidth="1"/>
    <col min="7" max="7" width="11.5703125" style="82" customWidth="1"/>
    <col min="8" max="8" width="17.42578125" style="4" customWidth="1"/>
    <col min="9" max="9" width="15.5703125" style="4" customWidth="1"/>
    <col min="10" max="10" width="15" style="4" customWidth="1"/>
    <col min="11" max="11" width="11.28515625" style="4" customWidth="1"/>
    <col min="12" max="12" width="17.42578125" style="35" customWidth="1"/>
    <col min="13" max="16384" width="8" style="35"/>
  </cols>
  <sheetData>
    <row r="1" spans="1:12" s="2" customFormat="1" ht="16.899999999999999" customHeight="1">
      <c r="A1" s="185" t="s">
        <v>158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</row>
    <row r="2" spans="1:12" s="2" customFormat="1" ht="10.9" customHeight="1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</row>
    <row r="3" spans="1:12" s="2" customFormat="1" ht="7.15" customHeight="1">
      <c r="A3" s="3"/>
      <c r="C3" s="7"/>
      <c r="D3" s="44"/>
      <c r="E3" s="4"/>
      <c r="F3" s="4"/>
      <c r="G3" s="82"/>
      <c r="H3" s="4"/>
      <c r="I3" s="4"/>
      <c r="J3" s="4"/>
      <c r="K3" s="4"/>
    </row>
    <row r="4" spans="1:12" s="7" customFormat="1" ht="36.6" customHeight="1">
      <c r="A4" s="186" t="s">
        <v>0</v>
      </c>
      <c r="B4" s="188" t="s">
        <v>1</v>
      </c>
      <c r="C4" s="189" t="s">
        <v>95</v>
      </c>
      <c r="D4" s="189"/>
      <c r="E4" s="189"/>
      <c r="F4" s="189"/>
      <c r="G4" s="189"/>
      <c r="H4" s="190" t="s">
        <v>96</v>
      </c>
      <c r="I4" s="190"/>
      <c r="J4" s="190"/>
      <c r="K4" s="190"/>
    </row>
    <row r="5" spans="1:12" s="7" customFormat="1" ht="75">
      <c r="A5" s="187"/>
      <c r="B5" s="188"/>
      <c r="C5" s="54" t="s">
        <v>2</v>
      </c>
      <c r="D5" s="45" t="s">
        <v>160</v>
      </c>
      <c r="E5" s="59" t="s">
        <v>4</v>
      </c>
      <c r="F5" s="43" t="s">
        <v>159</v>
      </c>
      <c r="G5" s="81" t="s">
        <v>3</v>
      </c>
      <c r="H5" s="59" t="s">
        <v>160</v>
      </c>
      <c r="I5" s="88" t="s">
        <v>4</v>
      </c>
      <c r="J5" s="43" t="s">
        <v>159</v>
      </c>
      <c r="K5" s="81" t="s">
        <v>3</v>
      </c>
    </row>
    <row r="6" spans="1:12" s="7" customFormat="1" ht="15">
      <c r="A6" s="5">
        <v>1</v>
      </c>
      <c r="B6" s="5">
        <v>2</v>
      </c>
      <c r="C6" s="5">
        <v>3</v>
      </c>
      <c r="D6" s="6">
        <v>4</v>
      </c>
      <c r="E6" s="6">
        <v>5</v>
      </c>
      <c r="F6" s="5">
        <v>6</v>
      </c>
      <c r="G6" s="6">
        <v>7</v>
      </c>
      <c r="H6" s="6">
        <v>8</v>
      </c>
      <c r="I6" s="5">
        <v>9</v>
      </c>
      <c r="J6" s="5">
        <v>10</v>
      </c>
      <c r="K6" s="89">
        <v>11</v>
      </c>
    </row>
    <row r="7" spans="1:12" s="99" customFormat="1" ht="20.45" customHeight="1">
      <c r="A7" s="93" t="s">
        <v>97</v>
      </c>
      <c r="B7" s="94" t="s">
        <v>98</v>
      </c>
      <c r="C7" s="95"/>
      <c r="D7" s="96">
        <f>D8+D19</f>
        <v>169715</v>
      </c>
      <c r="E7" s="96">
        <f t="shared" ref="E7:F7" si="0">E8+E19</f>
        <v>268743</v>
      </c>
      <c r="F7" s="96">
        <f t="shared" si="0"/>
        <v>269883</v>
      </c>
      <c r="G7" s="130">
        <f t="shared" ref="G7:K7" si="1">G8</f>
        <v>100.62147728648489</v>
      </c>
      <c r="H7" s="96">
        <f>H8+H19</f>
        <v>234824.8</v>
      </c>
      <c r="I7" s="96">
        <f t="shared" ref="I7" si="2">I8+I19</f>
        <v>230836.5</v>
      </c>
      <c r="J7" s="96">
        <f t="shared" ref="J7" si="3">J8+J19</f>
        <v>230836.6</v>
      </c>
      <c r="K7" s="97">
        <f t="shared" si="1"/>
        <v>100.00013719058379</v>
      </c>
      <c r="L7" s="98"/>
    </row>
    <row r="8" spans="1:12" s="8" customFormat="1" ht="18" customHeight="1">
      <c r="A8" s="118"/>
      <c r="B8" s="119" t="s">
        <v>99</v>
      </c>
      <c r="C8" s="120"/>
      <c r="D8" s="121">
        <f>D9+D10+D12</f>
        <v>49650</v>
      </c>
      <c r="E8" s="122">
        <f>E9+E10+E12</f>
        <v>148678</v>
      </c>
      <c r="F8" s="122">
        <f>F9+F10+F12</f>
        <v>149602</v>
      </c>
      <c r="G8" s="131">
        <f>F8/E8*100</f>
        <v>100.62147728648489</v>
      </c>
      <c r="H8" s="123">
        <f>H9+H10+H12+802.2+534.9</f>
        <v>73115.999999999985</v>
      </c>
      <c r="I8" s="123">
        <f>I9+I10+I12</f>
        <v>72891.3</v>
      </c>
      <c r="J8" s="123">
        <f>J9+J10+J12</f>
        <v>72891.399999999994</v>
      </c>
      <c r="K8" s="124">
        <f t="shared" ref="K8:K40" si="4">J8/I8*100</f>
        <v>100.00013719058379</v>
      </c>
    </row>
    <row r="9" spans="1:12" s="12" customFormat="1" ht="29.25">
      <c r="A9" s="9" t="s">
        <v>5</v>
      </c>
      <c r="B9" s="10" t="s">
        <v>94</v>
      </c>
      <c r="C9" s="11" t="s">
        <v>6</v>
      </c>
      <c r="D9" s="55">
        <f>6074+13551</f>
        <v>19625</v>
      </c>
      <c r="E9" s="47">
        <f>5382+22059</f>
        <v>27441</v>
      </c>
      <c r="F9" s="47">
        <f>5382+22059</f>
        <v>27441</v>
      </c>
      <c r="G9" s="132">
        <f>F9/E9*100</f>
        <v>100</v>
      </c>
      <c r="H9" s="86">
        <f>8495.2+20270.8</f>
        <v>28766</v>
      </c>
      <c r="I9" s="86">
        <f>6525.7+11370.5</f>
        <v>17896.2</v>
      </c>
      <c r="J9" s="86">
        <v>17896</v>
      </c>
      <c r="K9" s="48">
        <f t="shared" si="4"/>
        <v>99.998882444317786</v>
      </c>
      <c r="L9" s="38"/>
    </row>
    <row r="10" spans="1:12" s="12" customFormat="1" ht="15">
      <c r="A10" s="9" t="s">
        <v>7</v>
      </c>
      <c r="B10" s="10" t="s">
        <v>8</v>
      </c>
      <c r="C10" s="11" t="s">
        <v>6</v>
      </c>
      <c r="D10" s="47">
        <f>D11</f>
        <v>2244</v>
      </c>
      <c r="E10" s="47">
        <f>E11</f>
        <v>7106</v>
      </c>
      <c r="F10" s="47">
        <f>F11</f>
        <v>7253</v>
      </c>
      <c r="G10" s="132">
        <f t="shared" ref="G10:G24" si="5">F10/E10*100</f>
        <v>102.06867435969602</v>
      </c>
      <c r="H10" s="86">
        <f>H11</f>
        <v>3243.1</v>
      </c>
      <c r="I10" s="86">
        <f>I11</f>
        <v>2962.6</v>
      </c>
      <c r="J10" s="86">
        <f>J11</f>
        <v>2963</v>
      </c>
      <c r="K10" s="48">
        <f t="shared" si="4"/>
        <v>100.01350165395262</v>
      </c>
    </row>
    <row r="11" spans="1:12" s="16" customFormat="1" ht="15">
      <c r="A11" s="13" t="s">
        <v>9</v>
      </c>
      <c r="B11" s="14" t="s">
        <v>10</v>
      </c>
      <c r="C11" s="15" t="s">
        <v>6</v>
      </c>
      <c r="D11" s="56">
        <f>1142+1102</f>
        <v>2244</v>
      </c>
      <c r="E11" s="49">
        <f>3128+3978</f>
        <v>7106</v>
      </c>
      <c r="F11" s="49">
        <f>3128+4125</f>
        <v>7253</v>
      </c>
      <c r="G11" s="83">
        <f t="shared" si="5"/>
        <v>102.06867435969602</v>
      </c>
      <c r="H11" s="87">
        <f>1594.6+1648.5</f>
        <v>3243.1</v>
      </c>
      <c r="I11" s="87">
        <f>1596.3+1366.3</f>
        <v>2962.6</v>
      </c>
      <c r="J11" s="87">
        <v>2963</v>
      </c>
      <c r="K11" s="50">
        <f t="shared" si="4"/>
        <v>100.01350165395262</v>
      </c>
    </row>
    <row r="12" spans="1:12" s="8" customFormat="1" ht="28.5">
      <c r="A12" s="9" t="s">
        <v>11</v>
      </c>
      <c r="B12" s="10" t="s">
        <v>12</v>
      </c>
      <c r="C12" s="11" t="s">
        <v>6</v>
      </c>
      <c r="D12" s="57">
        <f>SUM(D13:D18)</f>
        <v>27781</v>
      </c>
      <c r="E12" s="57">
        <f t="shared" ref="E12:F12" si="6">SUM(E13:E18)</f>
        <v>114131</v>
      </c>
      <c r="F12" s="57">
        <f t="shared" si="6"/>
        <v>114908</v>
      </c>
      <c r="G12" s="132">
        <f t="shared" si="5"/>
        <v>100.68079662843574</v>
      </c>
      <c r="H12" s="86">
        <f>SUM(H13:H18)</f>
        <v>39769.799999999996</v>
      </c>
      <c r="I12" s="86">
        <f>SUM(I13:I18)</f>
        <v>52032.5</v>
      </c>
      <c r="J12" s="86">
        <f>SUM(J13:J18)</f>
        <v>52032.4</v>
      </c>
      <c r="K12" s="48">
        <f t="shared" si="4"/>
        <v>99.999807812424933</v>
      </c>
    </row>
    <row r="13" spans="1:12" s="16" customFormat="1" ht="15">
      <c r="A13" s="13" t="s">
        <v>14</v>
      </c>
      <c r="B13" s="14" t="s">
        <v>109</v>
      </c>
      <c r="C13" s="15" t="s">
        <v>6</v>
      </c>
      <c r="D13" s="58">
        <f>5689+342</f>
        <v>6031</v>
      </c>
      <c r="E13" s="56">
        <f>13074+1130</f>
        <v>14204</v>
      </c>
      <c r="F13" s="56">
        <f>12969+1190</f>
        <v>14159</v>
      </c>
      <c r="G13" s="83">
        <f t="shared" si="5"/>
        <v>99.683187834412848</v>
      </c>
      <c r="H13" s="87">
        <f>7912.6+511.6</f>
        <v>8424.2000000000007</v>
      </c>
      <c r="I13" s="87">
        <f>9472.9+1388.2</f>
        <v>10861.1</v>
      </c>
      <c r="J13" s="87">
        <v>10861</v>
      </c>
      <c r="K13" s="50">
        <f t="shared" si="4"/>
        <v>99.999079282945559</v>
      </c>
    </row>
    <row r="14" spans="1:12" s="16" customFormat="1" ht="15">
      <c r="A14" s="13" t="s">
        <v>15</v>
      </c>
      <c r="B14" s="14" t="s">
        <v>16</v>
      </c>
      <c r="C14" s="15" t="s">
        <v>6</v>
      </c>
      <c r="D14" s="58">
        <f>5017+1322</f>
        <v>6339</v>
      </c>
      <c r="E14" s="56">
        <f>10678+3512</f>
        <v>14190</v>
      </c>
      <c r="F14" s="56">
        <f>10606+3600</f>
        <v>14206</v>
      </c>
      <c r="G14" s="83">
        <f t="shared" si="5"/>
        <v>100.11275546159266</v>
      </c>
      <c r="H14" s="87">
        <f>7064.5+1977.5</f>
        <v>9042</v>
      </c>
      <c r="I14" s="87">
        <f>7485.7+3765.2+0.1</f>
        <v>11251</v>
      </c>
      <c r="J14" s="87">
        <v>11251</v>
      </c>
      <c r="K14" s="50">
        <f t="shared" si="4"/>
        <v>100</v>
      </c>
    </row>
    <row r="15" spans="1:12" s="16" customFormat="1" ht="15">
      <c r="A15" s="13" t="s">
        <v>17</v>
      </c>
      <c r="B15" s="14" t="s">
        <v>110</v>
      </c>
      <c r="C15" s="15" t="s">
        <v>6</v>
      </c>
      <c r="D15" s="58">
        <f>4910+951</f>
        <v>5861</v>
      </c>
      <c r="E15" s="56">
        <f>7648+2115</f>
        <v>9763</v>
      </c>
      <c r="F15" s="56">
        <f>7648+2115</f>
        <v>9763</v>
      </c>
      <c r="G15" s="83">
        <f t="shared" si="5"/>
        <v>100</v>
      </c>
      <c r="H15" s="87">
        <f>6843.1+1422.6</f>
        <v>8265.7000000000007</v>
      </c>
      <c r="I15" s="87">
        <f>7889.9+2818.5</f>
        <v>10708.4</v>
      </c>
      <c r="J15" s="87">
        <v>10708</v>
      </c>
      <c r="K15" s="50">
        <f t="shared" si="4"/>
        <v>99.996264614695008</v>
      </c>
    </row>
    <row r="16" spans="1:12" s="16" customFormat="1" ht="15">
      <c r="A16" s="13" t="s">
        <v>18</v>
      </c>
      <c r="B16" s="14" t="s">
        <v>19</v>
      </c>
      <c r="C16" s="15" t="s">
        <v>6</v>
      </c>
      <c r="D16" s="58">
        <v>2418</v>
      </c>
      <c r="E16" s="56">
        <v>3855</v>
      </c>
      <c r="F16" s="56">
        <v>3864</v>
      </c>
      <c r="G16" s="83">
        <f t="shared" si="5"/>
        <v>100.23346303501945</v>
      </c>
      <c r="H16" s="87">
        <v>3369.1</v>
      </c>
      <c r="I16" s="87">
        <v>3508.6</v>
      </c>
      <c r="J16" s="87">
        <v>3509</v>
      </c>
      <c r="K16" s="50">
        <f t="shared" si="4"/>
        <v>100.01140055862739</v>
      </c>
    </row>
    <row r="17" spans="1:12" s="16" customFormat="1" ht="15">
      <c r="A17" s="13" t="s">
        <v>21</v>
      </c>
      <c r="B17" s="14" t="s">
        <v>20</v>
      </c>
      <c r="C17" s="15" t="s">
        <v>6</v>
      </c>
      <c r="D17" s="58">
        <v>3752</v>
      </c>
      <c r="E17" s="56">
        <v>31620</v>
      </c>
      <c r="F17" s="56">
        <v>31936</v>
      </c>
      <c r="G17" s="83">
        <f t="shared" si="5"/>
        <v>100.99936748893106</v>
      </c>
      <c r="H17" s="87">
        <v>5612.6</v>
      </c>
      <c r="I17" s="87">
        <v>8572.4</v>
      </c>
      <c r="J17" s="87">
        <v>8572.4</v>
      </c>
      <c r="K17" s="50">
        <f t="shared" si="4"/>
        <v>100</v>
      </c>
    </row>
    <row r="18" spans="1:12" s="17" customFormat="1" ht="15">
      <c r="A18" s="13" t="s">
        <v>100</v>
      </c>
      <c r="B18" s="14" t="s">
        <v>22</v>
      </c>
      <c r="C18" s="15" t="s">
        <v>6</v>
      </c>
      <c r="D18" s="58">
        <v>3380</v>
      </c>
      <c r="E18" s="56">
        <v>40499</v>
      </c>
      <c r="F18" s="56">
        <v>40980</v>
      </c>
      <c r="G18" s="83">
        <f t="shared" si="5"/>
        <v>101.18768364650978</v>
      </c>
      <c r="H18" s="87">
        <v>5056.2</v>
      </c>
      <c r="I18" s="87">
        <v>7131</v>
      </c>
      <c r="J18" s="87">
        <v>7131</v>
      </c>
      <c r="K18" s="50">
        <f t="shared" si="4"/>
        <v>100</v>
      </c>
    </row>
    <row r="19" spans="1:12" s="60" customFormat="1" ht="18.75">
      <c r="A19" s="118"/>
      <c r="B19" s="119" t="s">
        <v>73</v>
      </c>
      <c r="C19" s="125"/>
      <c r="D19" s="142">
        <f>D20+D21+D22</f>
        <v>120065</v>
      </c>
      <c r="E19" s="142">
        <f>E20+E21+E22</f>
        <v>120065</v>
      </c>
      <c r="F19" s="142">
        <f>F20+F21+F22</f>
        <v>120281</v>
      </c>
      <c r="G19" s="131">
        <f>F19/E19*100</f>
        <v>100.1799025527839</v>
      </c>
      <c r="H19" s="142">
        <f>H20+H21+H22+4214</f>
        <v>161708.79999999999</v>
      </c>
      <c r="I19" s="142">
        <f>I20+I21+I22</f>
        <v>157945.20000000001</v>
      </c>
      <c r="J19" s="142">
        <f>J20+J21+J22</f>
        <v>157945.20000000001</v>
      </c>
      <c r="K19" s="143">
        <f>J19/I19*100</f>
        <v>100</v>
      </c>
      <c r="L19" s="67"/>
    </row>
    <row r="20" spans="1:12" s="60" customFormat="1" ht="18.75">
      <c r="A20" s="25" t="s">
        <v>5</v>
      </c>
      <c r="B20" s="26" t="s">
        <v>74</v>
      </c>
      <c r="C20" s="42" t="s">
        <v>75</v>
      </c>
      <c r="D20" s="51">
        <v>40</v>
      </c>
      <c r="E20" s="51">
        <v>40</v>
      </c>
      <c r="F20" s="51">
        <v>40</v>
      </c>
      <c r="G20" s="134">
        <f>F20/E20*100</f>
        <v>100</v>
      </c>
      <c r="H20" s="86">
        <v>11576.6</v>
      </c>
      <c r="I20" s="86">
        <v>11611</v>
      </c>
      <c r="J20" s="86">
        <v>11611</v>
      </c>
      <c r="K20" s="48">
        <f t="shared" si="4"/>
        <v>100</v>
      </c>
      <c r="L20" s="67"/>
    </row>
    <row r="21" spans="1:12" s="60" customFormat="1" ht="30">
      <c r="A21" s="25" t="s">
        <v>7</v>
      </c>
      <c r="B21" s="136" t="s">
        <v>76</v>
      </c>
      <c r="C21" s="42" t="s">
        <v>77</v>
      </c>
      <c r="D21" s="51">
        <v>120000</v>
      </c>
      <c r="E21" s="51">
        <v>120000</v>
      </c>
      <c r="F21" s="51">
        <v>120215</v>
      </c>
      <c r="G21" s="134">
        <f>F21/E21*100</f>
        <v>100.17916666666666</v>
      </c>
      <c r="H21" s="86">
        <v>38362.1</v>
      </c>
      <c r="I21" s="86">
        <v>38336.6</v>
      </c>
      <c r="J21" s="86">
        <v>38336.6</v>
      </c>
      <c r="K21" s="48">
        <f t="shared" si="4"/>
        <v>100</v>
      </c>
      <c r="L21" s="67"/>
    </row>
    <row r="22" spans="1:12" s="60" customFormat="1" ht="30">
      <c r="A22" s="25" t="s">
        <v>11</v>
      </c>
      <c r="B22" s="91" t="s">
        <v>78</v>
      </c>
      <c r="C22" s="42" t="s">
        <v>79</v>
      </c>
      <c r="D22" s="51">
        <v>25</v>
      </c>
      <c r="E22" s="51">
        <v>25</v>
      </c>
      <c r="F22" s="51">
        <v>26</v>
      </c>
      <c r="G22" s="134">
        <f>F22/E22*100</f>
        <v>104</v>
      </c>
      <c r="H22" s="86">
        <f>107556.1</f>
        <v>107556.1</v>
      </c>
      <c r="I22" s="86">
        <v>107997.6</v>
      </c>
      <c r="J22" s="86">
        <v>107997.6</v>
      </c>
      <c r="K22" s="48">
        <f t="shared" si="4"/>
        <v>100</v>
      </c>
      <c r="L22" s="67"/>
    </row>
    <row r="23" spans="1:12" s="103" customFormat="1" ht="31.5">
      <c r="A23" s="100" t="s">
        <v>62</v>
      </c>
      <c r="B23" s="101" t="s">
        <v>101</v>
      </c>
      <c r="C23" s="102"/>
      <c r="D23" s="144">
        <f>D24</f>
        <v>477600</v>
      </c>
      <c r="E23" s="144">
        <f t="shared" ref="E23:F23" si="7">E24</f>
        <v>489840</v>
      </c>
      <c r="F23" s="144">
        <f t="shared" si="7"/>
        <v>497421</v>
      </c>
      <c r="G23" s="133">
        <f>F23/E23*100</f>
        <v>101.54764821166096</v>
      </c>
      <c r="H23" s="144">
        <f>H24</f>
        <v>109265.19999999998</v>
      </c>
      <c r="I23" s="144">
        <f>I24</f>
        <v>120410.60000000002</v>
      </c>
      <c r="J23" s="144">
        <f>J24</f>
        <v>120410.00000000001</v>
      </c>
      <c r="K23" s="145">
        <f t="shared" si="4"/>
        <v>99.999501704999389</v>
      </c>
    </row>
    <row r="24" spans="1:12" s="20" customFormat="1" ht="20.45" customHeight="1">
      <c r="A24" s="118"/>
      <c r="B24" s="119" t="s">
        <v>112</v>
      </c>
      <c r="C24" s="126"/>
      <c r="D24" s="146">
        <f>D25+D27+D34+D35+D36+D37</f>
        <v>477600</v>
      </c>
      <c r="E24" s="146">
        <f>E25+E27+E34+E35+E36+E37</f>
        <v>489840</v>
      </c>
      <c r="F24" s="146">
        <f>F25+F27+F34+F35+F36+F37</f>
        <v>497421</v>
      </c>
      <c r="G24" s="131">
        <f t="shared" si="5"/>
        <v>101.54764821166096</v>
      </c>
      <c r="H24" s="142">
        <f t="shared" ref="H24:J24" si="8">H25+H27+H34+H35+H36+H37</f>
        <v>109265.19999999998</v>
      </c>
      <c r="I24" s="142">
        <f t="shared" si="8"/>
        <v>120410.60000000002</v>
      </c>
      <c r="J24" s="142">
        <f t="shared" si="8"/>
        <v>120410.00000000001</v>
      </c>
      <c r="K24" s="143">
        <f t="shared" si="4"/>
        <v>99.999501704999389</v>
      </c>
    </row>
    <row r="25" spans="1:12" s="19" customFormat="1" ht="15">
      <c r="A25" s="21" t="s">
        <v>5</v>
      </c>
      <c r="B25" s="18" t="s">
        <v>8</v>
      </c>
      <c r="C25" s="11" t="s">
        <v>6</v>
      </c>
      <c r="D25" s="47">
        <f>D26</f>
        <v>39712</v>
      </c>
      <c r="E25" s="47">
        <f t="shared" ref="E25:F25" si="9">E26</f>
        <v>39712</v>
      </c>
      <c r="F25" s="47">
        <f t="shared" si="9"/>
        <v>43873</v>
      </c>
      <c r="G25" s="132">
        <f>F25/E25*100</f>
        <v>110.47794117647058</v>
      </c>
      <c r="H25" s="86">
        <f>H26</f>
        <v>6985.2000000000007</v>
      </c>
      <c r="I25" s="86">
        <f>I26</f>
        <v>7646.5</v>
      </c>
      <c r="J25" s="86">
        <f>J26</f>
        <v>7645.9</v>
      </c>
      <c r="K25" s="48">
        <f t="shared" si="4"/>
        <v>99.992153272739159</v>
      </c>
      <c r="L25" s="39"/>
    </row>
    <row r="26" spans="1:12" s="16" customFormat="1" ht="15">
      <c r="A26" s="13" t="s">
        <v>9</v>
      </c>
      <c r="B26" s="14" t="s">
        <v>23</v>
      </c>
      <c r="C26" s="15" t="s">
        <v>6</v>
      </c>
      <c r="D26" s="49">
        <f>11170+28542</f>
        <v>39712</v>
      </c>
      <c r="E26" s="49">
        <f t="shared" ref="E26" si="10">11170+28542</f>
        <v>39712</v>
      </c>
      <c r="F26" s="49">
        <f>13693+30180</f>
        <v>43873</v>
      </c>
      <c r="G26" s="83">
        <f t="shared" ref="G26:G37" si="11">F26/E26*100</f>
        <v>110.47794117647058</v>
      </c>
      <c r="H26" s="87">
        <f>3345.3+3639.9</f>
        <v>6985.2000000000007</v>
      </c>
      <c r="I26" s="87">
        <f>4044.9+3601.6</f>
        <v>7646.5</v>
      </c>
      <c r="J26" s="87">
        <f>4044.9+3601</f>
        <v>7645.9</v>
      </c>
      <c r="K26" s="50">
        <f t="shared" si="4"/>
        <v>99.992153272739159</v>
      </c>
    </row>
    <row r="27" spans="1:12" s="8" customFormat="1" ht="28.5">
      <c r="A27" s="9" t="s">
        <v>7</v>
      </c>
      <c r="B27" s="10" t="s">
        <v>24</v>
      </c>
      <c r="C27" s="11" t="s">
        <v>6</v>
      </c>
      <c r="D27" s="47">
        <f>SUM(D28:D33)</f>
        <v>437482</v>
      </c>
      <c r="E27" s="47">
        <f>SUM(E28:E33)</f>
        <v>449722</v>
      </c>
      <c r="F27" s="47">
        <f>SUM(F28:F33)</f>
        <v>453137</v>
      </c>
      <c r="G27" s="132">
        <f t="shared" si="11"/>
        <v>100.75935800338875</v>
      </c>
      <c r="H27" s="86">
        <f>SUM(H28:H33)</f>
        <v>85593</v>
      </c>
      <c r="I27" s="86">
        <f>SUM(I28:I33)</f>
        <v>93738</v>
      </c>
      <c r="J27" s="86">
        <f>SUM(J28:J33)</f>
        <v>93738</v>
      </c>
      <c r="K27" s="48">
        <f t="shared" si="4"/>
        <v>100</v>
      </c>
    </row>
    <row r="28" spans="1:12" s="22" customFormat="1" ht="15">
      <c r="A28" s="182" t="s">
        <v>9</v>
      </c>
      <c r="B28" s="183" t="s">
        <v>25</v>
      </c>
      <c r="C28" s="15" t="s">
        <v>13</v>
      </c>
      <c r="D28" s="49">
        <v>45</v>
      </c>
      <c r="E28" s="49"/>
      <c r="F28" s="49"/>
      <c r="G28" s="83"/>
      <c r="H28" s="87">
        <v>3639.9</v>
      </c>
      <c r="I28" s="87"/>
      <c r="J28" s="87"/>
      <c r="K28" s="50"/>
    </row>
    <row r="29" spans="1:12" s="22" customFormat="1" ht="15">
      <c r="A29" s="182"/>
      <c r="B29" s="184"/>
      <c r="C29" s="15" t="s">
        <v>6</v>
      </c>
      <c r="D29" s="49"/>
      <c r="E29" s="49">
        <v>12285</v>
      </c>
      <c r="F29" s="49">
        <v>12285</v>
      </c>
      <c r="G29" s="83">
        <f t="shared" ref="G29" si="12">F29/E29*100</f>
        <v>100</v>
      </c>
      <c r="H29" s="147"/>
      <c r="I29" s="87">
        <v>4044.8</v>
      </c>
      <c r="J29" s="87">
        <v>4044.8</v>
      </c>
      <c r="K29" s="50">
        <f t="shared" ref="K29" si="13">J29/I29*100</f>
        <v>100</v>
      </c>
    </row>
    <row r="30" spans="1:12" s="7" customFormat="1" ht="15">
      <c r="A30" s="13" t="s">
        <v>26</v>
      </c>
      <c r="B30" s="14" t="s">
        <v>27</v>
      </c>
      <c r="C30" s="15" t="s">
        <v>6</v>
      </c>
      <c r="D30" s="49">
        <f>67938+9132</f>
        <v>77070</v>
      </c>
      <c r="E30" s="49">
        <f t="shared" ref="E30" si="14">67938+9132</f>
        <v>77070</v>
      </c>
      <c r="F30" s="49">
        <f>70083+9004</f>
        <v>79087</v>
      </c>
      <c r="G30" s="83">
        <f t="shared" si="11"/>
        <v>102.61710133644739</v>
      </c>
      <c r="H30" s="87">
        <f>3257.8+16016</f>
        <v>19273.8</v>
      </c>
      <c r="I30" s="87">
        <f>3501+17797.2</f>
        <v>21298.2</v>
      </c>
      <c r="J30" s="87">
        <f>3501+17797.2</f>
        <v>21298.2</v>
      </c>
      <c r="K30" s="50">
        <f t="shared" si="4"/>
        <v>100</v>
      </c>
    </row>
    <row r="31" spans="1:12" s="12" customFormat="1" ht="15">
      <c r="A31" s="13" t="s">
        <v>28</v>
      </c>
      <c r="B31" s="14" t="s">
        <v>29</v>
      </c>
      <c r="C31" s="15" t="s">
        <v>6</v>
      </c>
      <c r="D31" s="49">
        <f>88842+26640</f>
        <v>115482</v>
      </c>
      <c r="E31" s="49">
        <f t="shared" ref="E31" si="15">88842+26640</f>
        <v>115482</v>
      </c>
      <c r="F31" s="49">
        <f>88875+25419</f>
        <v>114294</v>
      </c>
      <c r="G31" s="83">
        <f t="shared" si="11"/>
        <v>98.971268249597344</v>
      </c>
      <c r="H31" s="87">
        <f>9949.2+6332.7</f>
        <v>16281.900000000001</v>
      </c>
      <c r="I31" s="87">
        <f>6805.8+11056.4</f>
        <v>17862.2</v>
      </c>
      <c r="J31" s="87">
        <f>6805.8+11056.4</f>
        <v>17862.2</v>
      </c>
      <c r="K31" s="50">
        <f t="shared" si="4"/>
        <v>100</v>
      </c>
    </row>
    <row r="32" spans="1:12" s="7" customFormat="1" ht="15">
      <c r="A32" s="13" t="s">
        <v>30</v>
      </c>
      <c r="B32" s="14" t="s">
        <v>31</v>
      </c>
      <c r="C32" s="15" t="s">
        <v>6</v>
      </c>
      <c r="D32" s="49">
        <f>118521+34612</f>
        <v>153133</v>
      </c>
      <c r="E32" s="49">
        <f t="shared" ref="E32" si="16">118521+34612</f>
        <v>153133</v>
      </c>
      <c r="F32" s="49">
        <f>122070+33306</f>
        <v>155376</v>
      </c>
      <c r="G32" s="83">
        <f t="shared" si="11"/>
        <v>101.46473980134915</v>
      </c>
      <c r="H32" s="87">
        <f>22246.8+7542.5</f>
        <v>29789.3</v>
      </c>
      <c r="I32" s="87">
        <f>8108+24567.9</f>
        <v>32675.9</v>
      </c>
      <c r="J32" s="87">
        <f>8108+24567.9</f>
        <v>32675.9</v>
      </c>
      <c r="K32" s="50">
        <f t="shared" si="4"/>
        <v>100</v>
      </c>
    </row>
    <row r="33" spans="1:16" s="7" customFormat="1" ht="15">
      <c r="A33" s="13" t="s">
        <v>58</v>
      </c>
      <c r="B33" s="14" t="s">
        <v>38</v>
      </c>
      <c r="C33" s="15" t="s">
        <v>6</v>
      </c>
      <c r="D33" s="49">
        <v>91752</v>
      </c>
      <c r="E33" s="49">
        <v>91752</v>
      </c>
      <c r="F33" s="49">
        <v>92095</v>
      </c>
      <c r="G33" s="83">
        <f>F33/E33*100</f>
        <v>100.37383381288691</v>
      </c>
      <c r="H33" s="87">
        <v>16608.099999999999</v>
      </c>
      <c r="I33" s="87">
        <v>17856.900000000001</v>
      </c>
      <c r="J33" s="87">
        <v>17856.900000000001</v>
      </c>
      <c r="K33" s="50">
        <f t="shared" si="4"/>
        <v>100</v>
      </c>
    </row>
    <row r="34" spans="1:16" s="20" customFormat="1" ht="28.5">
      <c r="A34" s="9" t="s">
        <v>11</v>
      </c>
      <c r="B34" s="10" t="s">
        <v>32</v>
      </c>
      <c r="C34" s="23" t="s">
        <v>113</v>
      </c>
      <c r="D34" s="47">
        <f>154+78</f>
        <v>232</v>
      </c>
      <c r="E34" s="47">
        <f t="shared" ref="E34:F34" si="17">154+78</f>
        <v>232</v>
      </c>
      <c r="F34" s="47">
        <f t="shared" si="17"/>
        <v>232</v>
      </c>
      <c r="G34" s="132">
        <f t="shared" si="11"/>
        <v>100</v>
      </c>
      <c r="H34" s="86">
        <f>527.1+227.3</f>
        <v>754.40000000000009</v>
      </c>
      <c r="I34" s="86">
        <f>305+560.8</f>
        <v>865.8</v>
      </c>
      <c r="J34" s="86">
        <f>305+560.8</f>
        <v>865.8</v>
      </c>
      <c r="K34" s="48">
        <f t="shared" si="4"/>
        <v>100</v>
      </c>
    </row>
    <row r="35" spans="1:16" s="20" customFormat="1" ht="27.6" customHeight="1">
      <c r="A35" s="9" t="s">
        <v>33</v>
      </c>
      <c r="B35" s="10" t="s">
        <v>34</v>
      </c>
      <c r="C35" s="23" t="s">
        <v>35</v>
      </c>
      <c r="D35" s="47">
        <f>30+47</f>
        <v>77</v>
      </c>
      <c r="E35" s="47">
        <f t="shared" ref="E35" si="18">30+47</f>
        <v>77</v>
      </c>
      <c r="F35" s="47">
        <f>30+50</f>
        <v>80</v>
      </c>
      <c r="G35" s="132">
        <f t="shared" si="11"/>
        <v>103.89610389610388</v>
      </c>
      <c r="H35" s="86">
        <f>361+9089.9</f>
        <v>9450.9</v>
      </c>
      <c r="I35" s="86">
        <f>9525.1+893</f>
        <v>10418.1</v>
      </c>
      <c r="J35" s="86">
        <f>9525.1+893</f>
        <v>10418.1</v>
      </c>
      <c r="K35" s="48">
        <f t="shared" si="4"/>
        <v>100</v>
      </c>
    </row>
    <row r="36" spans="1:16" s="19" customFormat="1" ht="28.5">
      <c r="A36" s="21" t="s">
        <v>36</v>
      </c>
      <c r="B36" s="18" t="s">
        <v>37</v>
      </c>
      <c r="C36" s="23" t="s">
        <v>35</v>
      </c>
      <c r="D36" s="47">
        <f>9+4</f>
        <v>13</v>
      </c>
      <c r="E36" s="47">
        <f t="shared" ref="E36:F36" si="19">9+4</f>
        <v>13</v>
      </c>
      <c r="F36" s="47">
        <f t="shared" si="19"/>
        <v>13</v>
      </c>
      <c r="G36" s="132">
        <f t="shared" si="11"/>
        <v>100</v>
      </c>
      <c r="H36" s="86">
        <f>1117.2+2036.6</f>
        <v>3153.8</v>
      </c>
      <c r="I36" s="86">
        <f>1449+2467.6</f>
        <v>3916.6</v>
      </c>
      <c r="J36" s="86">
        <f>1449+2467.6</f>
        <v>3916.6</v>
      </c>
      <c r="K36" s="48">
        <f t="shared" si="4"/>
        <v>100</v>
      </c>
    </row>
    <row r="37" spans="1:16" s="20" customFormat="1" ht="28.5">
      <c r="A37" s="9" t="s">
        <v>40</v>
      </c>
      <c r="B37" s="10" t="s">
        <v>39</v>
      </c>
      <c r="C37" s="23" t="s">
        <v>35</v>
      </c>
      <c r="D37" s="47">
        <v>84</v>
      </c>
      <c r="E37" s="47">
        <v>84</v>
      </c>
      <c r="F37" s="47">
        <v>86</v>
      </c>
      <c r="G37" s="132">
        <f t="shared" si="11"/>
        <v>102.38095238095238</v>
      </c>
      <c r="H37" s="86">
        <v>3327.9</v>
      </c>
      <c r="I37" s="86">
        <v>3825.6</v>
      </c>
      <c r="J37" s="86">
        <v>3825.6</v>
      </c>
      <c r="K37" s="48">
        <f t="shared" si="4"/>
        <v>100</v>
      </c>
    </row>
    <row r="38" spans="1:16" s="107" customFormat="1" ht="21" customHeight="1">
      <c r="A38" s="100" t="s">
        <v>102</v>
      </c>
      <c r="B38" s="104" t="s">
        <v>104</v>
      </c>
      <c r="C38" s="102"/>
      <c r="D38" s="105">
        <f t="shared" ref="D38:F38" si="20">D39</f>
        <v>170700</v>
      </c>
      <c r="E38" s="106">
        <f t="shared" si="20"/>
        <v>170700</v>
      </c>
      <c r="F38" s="106">
        <f t="shared" si="20"/>
        <v>172850</v>
      </c>
      <c r="G38" s="133">
        <f>F38/E38*100</f>
        <v>101.25951962507322</v>
      </c>
      <c r="H38" s="144">
        <f t="shared" ref="H38:J38" si="21">H39</f>
        <v>13394.7</v>
      </c>
      <c r="I38" s="144">
        <f t="shared" si="21"/>
        <v>13709</v>
      </c>
      <c r="J38" s="144">
        <f t="shared" si="21"/>
        <v>13709</v>
      </c>
      <c r="K38" s="145">
        <f t="shared" si="4"/>
        <v>100</v>
      </c>
    </row>
    <row r="39" spans="1:16" s="60" customFormat="1" ht="19.899999999999999" customHeight="1">
      <c r="A39" s="118"/>
      <c r="B39" s="119" t="s">
        <v>80</v>
      </c>
      <c r="C39" s="125"/>
      <c r="D39" s="142">
        <f>D40</f>
        <v>170700</v>
      </c>
      <c r="E39" s="142">
        <f>E40</f>
        <v>170700</v>
      </c>
      <c r="F39" s="142">
        <f>F40</f>
        <v>172850</v>
      </c>
      <c r="G39" s="131">
        <f>F39/E39*100</f>
        <v>101.25951962507322</v>
      </c>
      <c r="H39" s="148">
        <f>H40</f>
        <v>13394.7</v>
      </c>
      <c r="I39" s="148">
        <f>I40</f>
        <v>13709</v>
      </c>
      <c r="J39" s="148">
        <f>J40</f>
        <v>13709</v>
      </c>
      <c r="K39" s="143">
        <f t="shared" si="4"/>
        <v>100</v>
      </c>
      <c r="L39" s="67"/>
    </row>
    <row r="40" spans="1:16" s="90" customFormat="1" ht="30">
      <c r="A40" s="25"/>
      <c r="B40" s="26" t="s">
        <v>81</v>
      </c>
      <c r="C40" s="42" t="s">
        <v>161</v>
      </c>
      <c r="D40" s="51">
        <v>170700</v>
      </c>
      <c r="E40" s="51">
        <v>170700</v>
      </c>
      <c r="F40" s="51">
        <v>172850</v>
      </c>
      <c r="G40" s="134">
        <f t="shared" ref="G40" si="22">F40/E40*100</f>
        <v>101.25951962507322</v>
      </c>
      <c r="H40" s="149">
        <v>13394.7</v>
      </c>
      <c r="I40" s="149">
        <v>13709</v>
      </c>
      <c r="J40" s="149">
        <v>13709</v>
      </c>
      <c r="K40" s="48">
        <f t="shared" si="4"/>
        <v>100</v>
      </c>
      <c r="L40" s="19"/>
    </row>
    <row r="41" spans="1:16" s="60" customFormat="1" ht="32.25">
      <c r="A41" s="100" t="s">
        <v>92</v>
      </c>
      <c r="B41" s="108" t="s">
        <v>165</v>
      </c>
      <c r="C41" s="102"/>
      <c r="D41" s="105">
        <f t="shared" ref="D41:F41" si="23">D42</f>
        <v>43964</v>
      </c>
      <c r="E41" s="106">
        <f t="shared" si="23"/>
        <v>47376</v>
      </c>
      <c r="F41" s="106">
        <f t="shared" si="23"/>
        <v>52980</v>
      </c>
      <c r="G41" s="133">
        <f>F41/E41*100</f>
        <v>111.82877406281662</v>
      </c>
      <c r="H41" s="106">
        <f>H42</f>
        <v>33940.800000000003</v>
      </c>
      <c r="I41" s="144">
        <f>J42</f>
        <v>36574.300000000003</v>
      </c>
      <c r="J41" s="144">
        <f>J42</f>
        <v>36574.300000000003</v>
      </c>
      <c r="K41" s="145">
        <f t="shared" ref="K41:K42" si="24">J41/I41*100</f>
        <v>100</v>
      </c>
      <c r="L41" s="67"/>
    </row>
    <row r="42" spans="1:16" s="60" customFormat="1" ht="18.75">
      <c r="A42" s="118"/>
      <c r="B42" s="119" t="s">
        <v>82</v>
      </c>
      <c r="C42" s="125"/>
      <c r="D42" s="142">
        <f>D43</f>
        <v>43964</v>
      </c>
      <c r="E42" s="142">
        <f>E43</f>
        <v>47376</v>
      </c>
      <c r="F42" s="142">
        <f>F43</f>
        <v>52980</v>
      </c>
      <c r="G42" s="131">
        <f>F42/E42*100</f>
        <v>111.82877406281662</v>
      </c>
      <c r="H42" s="150">
        <f>H43</f>
        <v>33940.800000000003</v>
      </c>
      <c r="I42" s="150">
        <f>I43</f>
        <v>36574.300000000003</v>
      </c>
      <c r="J42" s="150">
        <f>J43</f>
        <v>36574.300000000003</v>
      </c>
      <c r="K42" s="143">
        <f t="shared" si="24"/>
        <v>100</v>
      </c>
      <c r="L42" s="67"/>
    </row>
    <row r="43" spans="1:16" s="92" customFormat="1" ht="30">
      <c r="A43" s="69"/>
      <c r="B43" s="91" t="s">
        <v>162</v>
      </c>
      <c r="C43" s="42" t="s">
        <v>114</v>
      </c>
      <c r="D43" s="51">
        <v>43964</v>
      </c>
      <c r="E43" s="51">
        <v>47376</v>
      </c>
      <c r="F43" s="51">
        <v>52980</v>
      </c>
      <c r="G43" s="134">
        <f t="shared" ref="G43" si="25">F43/E43*100</f>
        <v>111.82877406281662</v>
      </c>
      <c r="H43" s="151">
        <v>33940.800000000003</v>
      </c>
      <c r="I43" s="151">
        <v>36574.300000000003</v>
      </c>
      <c r="J43" s="151">
        <v>36574.300000000003</v>
      </c>
      <c r="K43" s="48">
        <f t="shared" ref="K43" si="26">J43/I43*100</f>
        <v>100</v>
      </c>
      <c r="L43" s="20"/>
    </row>
    <row r="44" spans="1:16" s="1" customFormat="1" ht="21" customHeight="1">
      <c r="A44" s="100" t="s">
        <v>83</v>
      </c>
      <c r="B44" s="109" t="s">
        <v>105</v>
      </c>
      <c r="C44" s="102"/>
      <c r="D44" s="152">
        <f>D45+D87+D96+D103</f>
        <v>25456</v>
      </c>
      <c r="E44" s="152">
        <f t="shared" ref="E44:F44" si="27">E45+E87+E96+E103</f>
        <v>25401</v>
      </c>
      <c r="F44" s="152">
        <f t="shared" si="27"/>
        <v>25427</v>
      </c>
      <c r="G44" s="135">
        <f>F44/E44*100</f>
        <v>100.10235817487501</v>
      </c>
      <c r="H44" s="152">
        <f>H45+H87+H96+H103</f>
        <v>1303720.6913000001</v>
      </c>
      <c r="I44" s="152">
        <f t="shared" ref="I44:J44" si="28">I45+I87+I96+I103</f>
        <v>1320632.567</v>
      </c>
      <c r="J44" s="152">
        <f t="shared" si="28"/>
        <v>1310608.1067600001</v>
      </c>
      <c r="K44" s="153">
        <f t="shared" ref="K44:K86" si="29">J44/I44*100</f>
        <v>99.24093495113695</v>
      </c>
    </row>
    <row r="45" spans="1:16" s="63" customFormat="1" ht="19.899999999999999" customHeight="1">
      <c r="A45" s="127"/>
      <c r="B45" s="128" t="s">
        <v>106</v>
      </c>
      <c r="C45" s="129"/>
      <c r="D45" s="146">
        <f>D46+D53+D63+D70+D83+D85</f>
        <v>16121</v>
      </c>
      <c r="E45" s="146">
        <f>E46+E53+E63+E70+E83+E85</f>
        <v>16085</v>
      </c>
      <c r="F45" s="146">
        <f>F46+F53+F63+F70+F83+F85</f>
        <v>16085</v>
      </c>
      <c r="G45" s="154">
        <f t="shared" ref="G45:G86" si="30">F45/E45*100</f>
        <v>100</v>
      </c>
      <c r="H45" s="146">
        <f>H46+H53+H63+H70+H83+H85+32390.7808</f>
        <v>660699.60129999986</v>
      </c>
      <c r="I45" s="146">
        <f>I46+I53+I63+I70+I83+I85+1564.65723</f>
        <v>657985.76600000006</v>
      </c>
      <c r="J45" s="146">
        <f>J46+J53+J63+J70+J83+J85</f>
        <v>647998.37375999999</v>
      </c>
      <c r="K45" s="155">
        <f t="shared" si="29"/>
        <v>98.482126399068619</v>
      </c>
      <c r="L45" s="77"/>
      <c r="M45" s="64"/>
      <c r="N45" s="64"/>
      <c r="O45" s="64"/>
      <c r="P45" s="64"/>
    </row>
    <row r="46" spans="1:16" s="63" customFormat="1" ht="18.75">
      <c r="A46" s="69" t="s">
        <v>5</v>
      </c>
      <c r="B46" s="26" t="s">
        <v>41</v>
      </c>
      <c r="C46" s="31" t="s">
        <v>42</v>
      </c>
      <c r="D46" s="27">
        <f>D47+D48+D49+D50+D51+D52</f>
        <v>2232</v>
      </c>
      <c r="E46" s="27">
        <f t="shared" ref="E46:F46" si="31">E47+E48+E49+E50+E51+E52</f>
        <v>2217</v>
      </c>
      <c r="F46" s="27">
        <f t="shared" si="31"/>
        <v>2217</v>
      </c>
      <c r="G46" s="32">
        <f t="shared" si="30"/>
        <v>100</v>
      </c>
      <c r="H46" s="41">
        <f>H47+H48+H49+H50+H51+H52</f>
        <v>253816.12240000002</v>
      </c>
      <c r="I46" s="41">
        <f>I47+I48+I49+I50+I51+I52</f>
        <v>264282.00623</v>
      </c>
      <c r="J46" s="41">
        <f>J47+J48+J49+J50+J51+J52</f>
        <v>263971.78578999999</v>
      </c>
      <c r="K46" s="156">
        <f t="shared" si="29"/>
        <v>99.882617646042064</v>
      </c>
      <c r="L46" s="40"/>
    </row>
    <row r="47" spans="1:16" s="62" customFormat="1" ht="18.75">
      <c r="A47" s="70" t="s">
        <v>43</v>
      </c>
      <c r="B47" s="29" t="s">
        <v>137</v>
      </c>
      <c r="C47" s="30" t="s">
        <v>42</v>
      </c>
      <c r="D47" s="71">
        <v>2215</v>
      </c>
      <c r="E47" s="71">
        <v>2189</v>
      </c>
      <c r="F47" s="71">
        <v>2189</v>
      </c>
      <c r="G47" s="33">
        <f t="shared" si="30"/>
        <v>100</v>
      </c>
      <c r="H47" s="157">
        <f>244836.20673+3958.77</f>
        <v>248794.97672999999</v>
      </c>
      <c r="I47" s="157">
        <f>253959.31542+3937.69</f>
        <v>257897.00542</v>
      </c>
      <c r="J47" s="157">
        <f>253655.67691+3937.69</f>
        <v>257593.36691000001</v>
      </c>
      <c r="K47" s="158">
        <f t="shared" si="29"/>
        <v>99.882263654242323</v>
      </c>
      <c r="L47" s="68"/>
    </row>
    <row r="48" spans="1:16" s="63" customFormat="1" ht="30.75">
      <c r="A48" s="70" t="s">
        <v>44</v>
      </c>
      <c r="B48" s="29" t="s">
        <v>138</v>
      </c>
      <c r="C48" s="30" t="s">
        <v>42</v>
      </c>
      <c r="D48" s="71">
        <v>11</v>
      </c>
      <c r="E48" s="71">
        <v>22</v>
      </c>
      <c r="F48" s="71">
        <v>22</v>
      </c>
      <c r="G48" s="33">
        <f t="shared" si="30"/>
        <v>100</v>
      </c>
      <c r="H48" s="157">
        <f>2079.538+4.95</f>
        <v>2084.4879999999998</v>
      </c>
      <c r="I48" s="157">
        <f>3386.54651+21.42</f>
        <v>3407.9665100000002</v>
      </c>
      <c r="J48" s="157">
        <f>3385.32184+21.42</f>
        <v>3406.7418400000001</v>
      </c>
      <c r="K48" s="158">
        <f t="shared" si="29"/>
        <v>99.964064494284017</v>
      </c>
      <c r="L48" s="40"/>
    </row>
    <row r="49" spans="1:16" s="63" customFormat="1" ht="30.75">
      <c r="A49" s="70" t="s">
        <v>45</v>
      </c>
      <c r="B49" s="29" t="s">
        <v>139</v>
      </c>
      <c r="C49" s="78" t="s">
        <v>42</v>
      </c>
      <c r="D49" s="71">
        <v>1</v>
      </c>
      <c r="E49" s="71">
        <v>1</v>
      </c>
      <c r="F49" s="71">
        <v>1</v>
      </c>
      <c r="G49" s="33">
        <f t="shared" si="30"/>
        <v>100</v>
      </c>
      <c r="H49" s="159">
        <f>654.578+6.56</f>
        <v>661.13799999999992</v>
      </c>
      <c r="I49" s="157">
        <f>726.44904+6.58</f>
        <v>733.02904000000001</v>
      </c>
      <c r="J49" s="157">
        <f>722.3163+6.58</f>
        <v>728.8963</v>
      </c>
      <c r="K49" s="158">
        <f t="shared" si="29"/>
        <v>99.436210603607194</v>
      </c>
      <c r="L49" s="40"/>
    </row>
    <row r="50" spans="1:16" s="62" customFormat="1" ht="45.75">
      <c r="A50" s="70" t="s">
        <v>46</v>
      </c>
      <c r="B50" s="29" t="s">
        <v>140</v>
      </c>
      <c r="C50" s="30" t="s">
        <v>42</v>
      </c>
      <c r="D50" s="71">
        <v>1</v>
      </c>
      <c r="E50" s="71">
        <v>1</v>
      </c>
      <c r="F50" s="71">
        <v>1</v>
      </c>
      <c r="G50" s="33">
        <f t="shared" si="30"/>
        <v>100</v>
      </c>
      <c r="H50" s="159">
        <v>190.233</v>
      </c>
      <c r="I50" s="157">
        <v>215.24467000000001</v>
      </c>
      <c r="J50" s="157">
        <v>214.02015</v>
      </c>
      <c r="K50" s="158">
        <f t="shared" si="29"/>
        <v>99.431103218490833</v>
      </c>
      <c r="L50" s="68"/>
    </row>
    <row r="51" spans="1:16" s="63" customFormat="1" ht="30.75">
      <c r="A51" s="70" t="s">
        <v>48</v>
      </c>
      <c r="B51" s="29" t="s">
        <v>141</v>
      </c>
      <c r="C51" s="30" t="s">
        <v>42</v>
      </c>
      <c r="D51" s="71">
        <v>1</v>
      </c>
      <c r="E51" s="71">
        <v>1</v>
      </c>
      <c r="F51" s="71">
        <v>1</v>
      </c>
      <c r="G51" s="33">
        <f t="shared" si="30"/>
        <v>100</v>
      </c>
      <c r="H51" s="159">
        <f>122.833+0.36</f>
        <v>123.193</v>
      </c>
      <c r="I51" s="157">
        <f>89.13707+0.37</f>
        <v>89.507069999999999</v>
      </c>
      <c r="J51" s="157">
        <f>89.13707+0.37</f>
        <v>89.507069999999999</v>
      </c>
      <c r="K51" s="158">
        <f t="shared" si="29"/>
        <v>100</v>
      </c>
      <c r="L51" s="40"/>
    </row>
    <row r="52" spans="1:16" s="63" customFormat="1" ht="18.75">
      <c r="A52" s="70" t="s">
        <v>57</v>
      </c>
      <c r="B52" s="29" t="s">
        <v>142</v>
      </c>
      <c r="C52" s="30" t="s">
        <v>42</v>
      </c>
      <c r="D52" s="71">
        <v>3</v>
      </c>
      <c r="E52" s="71">
        <v>3</v>
      </c>
      <c r="F52" s="71">
        <v>3</v>
      </c>
      <c r="G52" s="33">
        <f t="shared" si="30"/>
        <v>100</v>
      </c>
      <c r="H52" s="157">
        <f>1960.52367+1.57</f>
        <v>1962.09367</v>
      </c>
      <c r="I52" s="157">
        <f>1937.68352+1.57</f>
        <v>1939.25352</v>
      </c>
      <c r="J52" s="157">
        <f>1937.68352+1.57</f>
        <v>1939.25352</v>
      </c>
      <c r="K52" s="158">
        <f t="shared" si="29"/>
        <v>100</v>
      </c>
      <c r="L52" s="40"/>
    </row>
    <row r="53" spans="1:16" s="63" customFormat="1" ht="18.75">
      <c r="A53" s="69" t="s">
        <v>7</v>
      </c>
      <c r="B53" s="26" t="s">
        <v>49</v>
      </c>
      <c r="C53" s="72" t="s">
        <v>42</v>
      </c>
      <c r="D53" s="27">
        <f>D54+D55+D56+D57+D58+D59+D60+D61+D62</f>
        <v>2440</v>
      </c>
      <c r="E53" s="27">
        <f t="shared" ref="E53:F53" si="32">E54+E55+E56+E57+E58+E59+E60+E61+E62</f>
        <v>2434</v>
      </c>
      <c r="F53" s="27">
        <f t="shared" si="32"/>
        <v>2434</v>
      </c>
      <c r="G53" s="32">
        <f t="shared" si="30"/>
        <v>100</v>
      </c>
      <c r="H53" s="41">
        <f>H54+H55+H56+H57+H58+H59+H60+H61+H62</f>
        <v>256552.54240000001</v>
      </c>
      <c r="I53" s="41">
        <f>I54+I55+I56+I57+I58+I59+I60+I61+I62</f>
        <v>270881.00063000002</v>
      </c>
      <c r="J53" s="41">
        <f>J54+J55+J56+J57+J58+J59+J60+J61+J62</f>
        <v>267678.78928000003</v>
      </c>
      <c r="K53" s="156">
        <f t="shared" si="29"/>
        <v>98.817853100604154</v>
      </c>
      <c r="L53" s="77"/>
      <c r="M53" s="64"/>
      <c r="N53" s="64"/>
      <c r="O53" s="64"/>
      <c r="P53" s="64"/>
    </row>
    <row r="54" spans="1:16" s="63" customFormat="1" ht="18.75">
      <c r="A54" s="73" t="s">
        <v>9</v>
      </c>
      <c r="B54" s="29" t="s">
        <v>143</v>
      </c>
      <c r="C54" s="30" t="s">
        <v>42</v>
      </c>
      <c r="D54" s="71">
        <v>1941</v>
      </c>
      <c r="E54" s="71">
        <v>1919</v>
      </c>
      <c r="F54" s="71">
        <v>1919</v>
      </c>
      <c r="G54" s="33">
        <f t="shared" si="30"/>
        <v>100</v>
      </c>
      <c r="H54" s="157">
        <f>193366.0797+1944.09</f>
        <v>195310.1697</v>
      </c>
      <c r="I54" s="157">
        <f>201109.53121+1934.06</f>
        <v>203043.59120999998</v>
      </c>
      <c r="J54" s="157">
        <f>198106.05251+1934.06</f>
        <v>200040.11251000001</v>
      </c>
      <c r="K54" s="158">
        <f t="shared" si="29"/>
        <v>98.52077148453624</v>
      </c>
      <c r="L54" s="77"/>
      <c r="M54" s="64"/>
      <c r="N54" s="64"/>
      <c r="O54" s="64"/>
      <c r="P54" s="64"/>
    </row>
    <row r="55" spans="1:16" s="63" customFormat="1" ht="30.75">
      <c r="A55" s="70" t="s">
        <v>26</v>
      </c>
      <c r="B55" s="29" t="s">
        <v>144</v>
      </c>
      <c r="C55" s="30" t="s">
        <v>42</v>
      </c>
      <c r="D55" s="71">
        <v>8</v>
      </c>
      <c r="E55" s="71">
        <v>27</v>
      </c>
      <c r="F55" s="71">
        <v>27</v>
      </c>
      <c r="G55" s="33">
        <f t="shared" si="30"/>
        <v>100</v>
      </c>
      <c r="H55" s="157">
        <f>1317.707+2.49</f>
        <v>1320.1970000000001</v>
      </c>
      <c r="I55" s="157">
        <f>3707.15416+17.58</f>
        <v>3724.73416</v>
      </c>
      <c r="J55" s="157">
        <f>3706.87516+17.58</f>
        <v>3724.45516</v>
      </c>
      <c r="K55" s="158">
        <f t="shared" si="29"/>
        <v>99.99250953254608</v>
      </c>
      <c r="L55" s="40"/>
    </row>
    <row r="56" spans="1:16" s="62" customFormat="1" ht="30.75">
      <c r="A56" s="73" t="s">
        <v>28</v>
      </c>
      <c r="B56" s="29" t="s">
        <v>145</v>
      </c>
      <c r="C56" s="30" t="s">
        <v>42</v>
      </c>
      <c r="D56" s="71">
        <v>2</v>
      </c>
      <c r="E56" s="71">
        <v>4</v>
      </c>
      <c r="F56" s="71">
        <v>4</v>
      </c>
      <c r="G56" s="33">
        <f t="shared" si="30"/>
        <v>100</v>
      </c>
      <c r="H56" s="157">
        <f>1088.909+1.1</f>
        <v>1090.009</v>
      </c>
      <c r="I56" s="157">
        <f>1943.61225+1.92</f>
        <v>1945.53225</v>
      </c>
      <c r="J56" s="157">
        <f>1943.61225+1.92</f>
        <v>1945.53225</v>
      </c>
      <c r="K56" s="158">
        <f t="shared" si="29"/>
        <v>100</v>
      </c>
      <c r="L56" s="68"/>
    </row>
    <row r="57" spans="1:16" s="63" customFormat="1" ht="30.75">
      <c r="A57" s="73" t="s">
        <v>30</v>
      </c>
      <c r="B57" s="74" t="s">
        <v>146</v>
      </c>
      <c r="C57" s="30" t="s">
        <v>42</v>
      </c>
      <c r="D57" s="71">
        <v>478</v>
      </c>
      <c r="E57" s="71">
        <v>472</v>
      </c>
      <c r="F57" s="71">
        <v>472</v>
      </c>
      <c r="G57" s="33">
        <f t="shared" si="30"/>
        <v>100</v>
      </c>
      <c r="H57" s="157">
        <f>50929.263+2163.31</f>
        <v>53092.572999999997</v>
      </c>
      <c r="I57" s="157">
        <f>54445.86986+2138.3</f>
        <v>56584.169860000002</v>
      </c>
      <c r="J57" s="157">
        <f>54249.44005+2138.3</f>
        <v>56387.74005</v>
      </c>
      <c r="K57" s="158">
        <f t="shared" si="29"/>
        <v>99.652853774322381</v>
      </c>
      <c r="L57" s="40"/>
    </row>
    <row r="58" spans="1:16" s="63" customFormat="1" ht="45.75">
      <c r="A58" s="70" t="s">
        <v>58</v>
      </c>
      <c r="B58" s="29" t="s">
        <v>147</v>
      </c>
      <c r="C58" s="30" t="s">
        <v>42</v>
      </c>
      <c r="D58" s="71">
        <v>0</v>
      </c>
      <c r="E58" s="71">
        <v>1</v>
      </c>
      <c r="F58" s="71">
        <v>1</v>
      </c>
      <c r="G58" s="33">
        <f t="shared" si="30"/>
        <v>100</v>
      </c>
      <c r="H58" s="159">
        <v>0</v>
      </c>
      <c r="I58" s="157">
        <f>248.12571+6.58</f>
        <v>254.70571000000001</v>
      </c>
      <c r="J58" s="157">
        <f>246.71413+6.58</f>
        <v>253.29413000000002</v>
      </c>
      <c r="K58" s="158">
        <f t="shared" si="29"/>
        <v>99.445799624986819</v>
      </c>
      <c r="L58" s="40"/>
    </row>
    <row r="59" spans="1:16" s="62" customFormat="1" ht="18.75">
      <c r="A59" s="73" t="s">
        <v>56</v>
      </c>
      <c r="B59" s="29" t="s">
        <v>148</v>
      </c>
      <c r="C59" s="30" t="s">
        <v>42</v>
      </c>
      <c r="D59" s="71">
        <v>2</v>
      </c>
      <c r="E59" s="71">
        <v>1</v>
      </c>
      <c r="F59" s="71">
        <v>1</v>
      </c>
      <c r="G59" s="33">
        <f t="shared" si="30"/>
        <v>100</v>
      </c>
      <c r="H59" s="159">
        <v>570.69799999999998</v>
      </c>
      <c r="I59" s="157">
        <v>430.48933</v>
      </c>
      <c r="J59" s="157">
        <v>430.48933</v>
      </c>
      <c r="K59" s="158">
        <f t="shared" si="29"/>
        <v>100</v>
      </c>
      <c r="L59" s="68"/>
    </row>
    <row r="60" spans="1:16" s="63" customFormat="1" ht="18.75">
      <c r="A60" s="73" t="s">
        <v>59</v>
      </c>
      <c r="B60" s="29" t="s">
        <v>149</v>
      </c>
      <c r="C60" s="30" t="s">
        <v>42</v>
      </c>
      <c r="D60" s="71">
        <v>7</v>
      </c>
      <c r="E60" s="71">
        <v>7</v>
      </c>
      <c r="F60" s="71">
        <v>7</v>
      </c>
      <c r="G60" s="33">
        <f t="shared" si="30"/>
        <v>100</v>
      </c>
      <c r="H60" s="159">
        <f>4785.7907+2.64</f>
        <v>4788.4306999999999</v>
      </c>
      <c r="I60" s="157">
        <f>4357.01644+2.65</f>
        <v>4359.66644</v>
      </c>
      <c r="J60" s="157">
        <f>4357.01644+2.65</f>
        <v>4359.66644</v>
      </c>
      <c r="K60" s="158">
        <f t="shared" si="29"/>
        <v>100</v>
      </c>
      <c r="L60" s="40"/>
    </row>
    <row r="61" spans="1:16" s="63" customFormat="1" ht="45.75">
      <c r="A61" s="73" t="s">
        <v>87</v>
      </c>
      <c r="B61" s="29" t="s">
        <v>111</v>
      </c>
      <c r="C61" s="30" t="s">
        <v>42</v>
      </c>
      <c r="D61" s="71">
        <v>2</v>
      </c>
      <c r="E61" s="71">
        <v>2</v>
      </c>
      <c r="F61" s="71">
        <v>2</v>
      </c>
      <c r="G61" s="33">
        <f t="shared" si="30"/>
        <v>100</v>
      </c>
      <c r="H61" s="159">
        <v>380.46499999999997</v>
      </c>
      <c r="I61" s="157">
        <v>322.86700000000002</v>
      </c>
      <c r="J61" s="157">
        <v>322.25474000000003</v>
      </c>
      <c r="K61" s="158">
        <f t="shared" si="29"/>
        <v>99.810367736560252</v>
      </c>
      <c r="L61" s="40"/>
    </row>
    <row r="62" spans="1:16" s="63" customFormat="1" ht="30.75">
      <c r="A62" s="73" t="s">
        <v>121</v>
      </c>
      <c r="B62" s="29" t="s">
        <v>156</v>
      </c>
      <c r="C62" s="30" t="s">
        <v>42</v>
      </c>
      <c r="D62" s="71">
        <v>0</v>
      </c>
      <c r="E62" s="71">
        <v>1</v>
      </c>
      <c r="F62" s="71">
        <v>1</v>
      </c>
      <c r="G62" s="33">
        <f t="shared" si="30"/>
        <v>100</v>
      </c>
      <c r="H62" s="159">
        <v>0</v>
      </c>
      <c r="I62" s="159">
        <v>215.24467000000001</v>
      </c>
      <c r="J62" s="159">
        <v>215.24467000000001</v>
      </c>
      <c r="K62" s="158">
        <f t="shared" si="29"/>
        <v>100</v>
      </c>
      <c r="L62" s="77"/>
      <c r="M62" s="64"/>
      <c r="N62" s="64"/>
      <c r="O62" s="64"/>
      <c r="P62" s="64"/>
    </row>
    <row r="63" spans="1:16" s="63" customFormat="1" ht="18.75">
      <c r="A63" s="69" t="s">
        <v>11</v>
      </c>
      <c r="B63" s="26" t="s">
        <v>50</v>
      </c>
      <c r="C63" s="31" t="s">
        <v>42</v>
      </c>
      <c r="D63" s="27">
        <f>D64+D65+D66+D67+D68+D69</f>
        <v>470</v>
      </c>
      <c r="E63" s="27">
        <f t="shared" ref="E63:F63" si="33">E64+E65+E66+E67+E68+E69</f>
        <v>473</v>
      </c>
      <c r="F63" s="27">
        <f t="shared" si="33"/>
        <v>473</v>
      </c>
      <c r="G63" s="32">
        <f t="shared" si="30"/>
        <v>100</v>
      </c>
      <c r="H63" s="160">
        <f>H64+H65+H66+H67+H68+H69</f>
        <v>49743.436499999996</v>
      </c>
      <c r="I63" s="160">
        <f>I64+I65+I66+I67+I68+I69</f>
        <v>54067.979910000002</v>
      </c>
      <c r="J63" s="160">
        <f>J64+J65+J66+J67+J68+J69</f>
        <v>53991.753990000005</v>
      </c>
      <c r="K63" s="156">
        <f t="shared" si="29"/>
        <v>99.859018368862905</v>
      </c>
      <c r="L63" s="77"/>
      <c r="M63" s="64"/>
      <c r="N63" s="64"/>
      <c r="O63" s="64"/>
      <c r="P63" s="64"/>
    </row>
    <row r="64" spans="1:16" s="63" customFormat="1" ht="18.75">
      <c r="A64" s="70" t="s">
        <v>14</v>
      </c>
      <c r="B64" s="29" t="s">
        <v>150</v>
      </c>
      <c r="C64" s="30" t="s">
        <v>42</v>
      </c>
      <c r="D64" s="71">
        <v>289</v>
      </c>
      <c r="E64" s="71">
        <v>293</v>
      </c>
      <c r="F64" s="71">
        <v>293</v>
      </c>
      <c r="G64" s="33">
        <f t="shared" si="30"/>
        <v>100</v>
      </c>
      <c r="H64" s="159">
        <f>28832.891+401.39</f>
        <v>29234.280999999999</v>
      </c>
      <c r="I64" s="157">
        <f>30734.83504+404.27</f>
        <v>31139.105040000002</v>
      </c>
      <c r="J64" s="157">
        <f>30711.04962+404.27</f>
        <v>31115.319620000002</v>
      </c>
      <c r="K64" s="158">
        <f t="shared" si="29"/>
        <v>99.923615595344032</v>
      </c>
      <c r="L64" s="40"/>
    </row>
    <row r="65" spans="1:16" s="62" customFormat="1" ht="45.75">
      <c r="A65" s="70" t="s">
        <v>15</v>
      </c>
      <c r="B65" s="29" t="s">
        <v>151</v>
      </c>
      <c r="C65" s="30" t="s">
        <v>42</v>
      </c>
      <c r="D65" s="71">
        <v>1</v>
      </c>
      <c r="E65" s="71">
        <v>1</v>
      </c>
      <c r="F65" s="71">
        <v>1</v>
      </c>
      <c r="G65" s="33">
        <f t="shared" si="30"/>
        <v>100</v>
      </c>
      <c r="H65" s="159">
        <v>190.233</v>
      </c>
      <c r="I65" s="159">
        <v>215.24467000000001</v>
      </c>
      <c r="J65" s="159">
        <v>215.24467000000001</v>
      </c>
      <c r="K65" s="158">
        <f t="shared" si="29"/>
        <v>100</v>
      </c>
      <c r="L65" s="68"/>
    </row>
    <row r="66" spans="1:16" s="63" customFormat="1" ht="30.75">
      <c r="A66" s="70" t="s">
        <v>17</v>
      </c>
      <c r="B66" s="29" t="s">
        <v>152</v>
      </c>
      <c r="C66" s="30" t="s">
        <v>42</v>
      </c>
      <c r="D66" s="71">
        <v>177</v>
      </c>
      <c r="E66" s="71">
        <v>177</v>
      </c>
      <c r="F66" s="71">
        <v>177</v>
      </c>
      <c r="G66" s="33">
        <f t="shared" si="30"/>
        <v>100</v>
      </c>
      <c r="H66" s="157">
        <f>18654.3285+517.21</f>
        <v>19171.538499999999</v>
      </c>
      <c r="I66" s="157">
        <f>20483.40091+531.79</f>
        <v>21015.190910000001</v>
      </c>
      <c r="J66" s="157">
        <f>20435.09315+531.79</f>
        <v>20966.883150000001</v>
      </c>
      <c r="K66" s="158">
        <f t="shared" si="29"/>
        <v>99.770129330697571</v>
      </c>
      <c r="L66" s="40"/>
    </row>
    <row r="67" spans="1:16" s="63" customFormat="1" ht="45.75">
      <c r="A67" s="28" t="s">
        <v>18</v>
      </c>
      <c r="B67" s="29" t="s">
        <v>155</v>
      </c>
      <c r="C67" s="30" t="s">
        <v>42</v>
      </c>
      <c r="D67" s="71">
        <v>1</v>
      </c>
      <c r="E67" s="71">
        <v>1</v>
      </c>
      <c r="F67" s="71">
        <v>1</v>
      </c>
      <c r="G67" s="33">
        <f t="shared" si="30"/>
        <v>100</v>
      </c>
      <c r="H67" s="159">
        <f>654.578+6.56</f>
        <v>661.13799999999992</v>
      </c>
      <c r="I67" s="159">
        <f>726.44904+6.58</f>
        <v>733.02904000000001</v>
      </c>
      <c r="J67" s="159">
        <f>722.3163+6.58</f>
        <v>728.8963</v>
      </c>
      <c r="K67" s="158">
        <f t="shared" si="29"/>
        <v>99.436210603607194</v>
      </c>
      <c r="L67" s="40"/>
    </row>
    <row r="68" spans="1:16" s="62" customFormat="1" ht="18.75">
      <c r="A68" s="70" t="s">
        <v>21</v>
      </c>
      <c r="B68" s="29" t="s">
        <v>153</v>
      </c>
      <c r="C68" s="30" t="s">
        <v>42</v>
      </c>
      <c r="D68" s="71">
        <v>1</v>
      </c>
      <c r="E68" s="71">
        <v>1</v>
      </c>
      <c r="F68" s="71">
        <v>1</v>
      </c>
      <c r="G68" s="33">
        <f t="shared" si="30"/>
        <v>100</v>
      </c>
      <c r="H68" s="159">
        <f>438.793+0.44</f>
        <v>439.233</v>
      </c>
      <c r="I68" s="159">
        <f>964.97025+0.44</f>
        <v>965.41025000000002</v>
      </c>
      <c r="J68" s="159">
        <f>964.97025+0.44</f>
        <v>965.41025000000002</v>
      </c>
      <c r="K68" s="158">
        <f t="shared" si="29"/>
        <v>100</v>
      </c>
      <c r="L68" s="68"/>
    </row>
    <row r="69" spans="1:16" s="63" customFormat="1" ht="30.75">
      <c r="A69" s="70" t="s">
        <v>100</v>
      </c>
      <c r="B69" s="29" t="s">
        <v>154</v>
      </c>
      <c r="C69" s="30" t="s">
        <v>42</v>
      </c>
      <c r="D69" s="71">
        <v>1</v>
      </c>
      <c r="E69" s="71">
        <v>0</v>
      </c>
      <c r="F69" s="71">
        <v>0</v>
      </c>
      <c r="G69" s="33">
        <v>0</v>
      </c>
      <c r="H69" s="159">
        <f>46.653+0.36</f>
        <v>47.012999999999998</v>
      </c>
      <c r="I69" s="159">
        <v>0</v>
      </c>
      <c r="J69" s="159">
        <v>0</v>
      </c>
      <c r="K69" s="158">
        <v>0</v>
      </c>
      <c r="L69" s="40"/>
    </row>
    <row r="70" spans="1:16" s="63" customFormat="1" ht="18.75">
      <c r="A70" s="75" t="s">
        <v>33</v>
      </c>
      <c r="B70" s="26" t="s">
        <v>115</v>
      </c>
      <c r="C70" s="31" t="s">
        <v>42</v>
      </c>
      <c r="D70" s="27">
        <f>D71+D75+D79</f>
        <v>5142</v>
      </c>
      <c r="E70" s="27">
        <f t="shared" ref="E70:F70" si="34">E71+E75+E79</f>
        <v>5124</v>
      </c>
      <c r="F70" s="27">
        <f t="shared" si="34"/>
        <v>5124</v>
      </c>
      <c r="G70" s="32">
        <f t="shared" si="30"/>
        <v>100</v>
      </c>
      <c r="H70" s="160">
        <f>H71+H75+H79</f>
        <v>61208.619199999986</v>
      </c>
      <c r="I70" s="160">
        <f>I71+I75+I79</f>
        <v>58746.221999999994</v>
      </c>
      <c r="J70" s="160">
        <f>J71+J75+J79</f>
        <v>53912.144700000004</v>
      </c>
      <c r="K70" s="156">
        <f t="shared" si="29"/>
        <v>91.771254158267425</v>
      </c>
      <c r="L70" s="40"/>
    </row>
    <row r="71" spans="1:16" s="63" customFormat="1" ht="18.75">
      <c r="A71" s="137" t="s">
        <v>71</v>
      </c>
      <c r="B71" s="138" t="s">
        <v>51</v>
      </c>
      <c r="C71" s="139" t="s">
        <v>42</v>
      </c>
      <c r="D71" s="140">
        <f>D72+D73+D74</f>
        <v>1289</v>
      </c>
      <c r="E71" s="140">
        <v>1289</v>
      </c>
      <c r="F71" s="140">
        <v>1320</v>
      </c>
      <c r="G71" s="141">
        <f t="shared" si="30"/>
        <v>102.40496508921643</v>
      </c>
      <c r="H71" s="161">
        <f>H72+H73+H74</f>
        <v>35861.011199999994</v>
      </c>
      <c r="I71" s="161">
        <f>I72+I73+I74</f>
        <v>35601.1</v>
      </c>
      <c r="J71" s="161">
        <f>J72+J73+J74</f>
        <v>32791.494599999998</v>
      </c>
      <c r="K71" s="162">
        <f t="shared" si="29"/>
        <v>92.108093851032692</v>
      </c>
      <c r="L71" s="77"/>
      <c r="M71" s="64"/>
      <c r="N71" s="64"/>
      <c r="O71" s="64"/>
      <c r="P71" s="64"/>
    </row>
    <row r="72" spans="1:16" s="63" customFormat="1" ht="18.75">
      <c r="A72" s="70"/>
      <c r="B72" s="76" t="s">
        <v>116</v>
      </c>
      <c r="C72" s="30" t="s">
        <v>42</v>
      </c>
      <c r="D72" s="71">
        <v>558</v>
      </c>
      <c r="E72" s="71">
        <v>592</v>
      </c>
      <c r="F72" s="71">
        <v>608</v>
      </c>
      <c r="G72" s="33">
        <f t="shared" si="30"/>
        <v>102.70270270270269</v>
      </c>
      <c r="H72" s="157">
        <v>15524.0064</v>
      </c>
      <c r="I72" s="157">
        <v>16350.5664</v>
      </c>
      <c r="J72" s="157">
        <v>15133.48209</v>
      </c>
      <c r="K72" s="158">
        <f t="shared" si="29"/>
        <v>92.556317131619366</v>
      </c>
      <c r="L72" s="77"/>
      <c r="M72" s="64"/>
      <c r="N72" s="64"/>
      <c r="O72" s="64"/>
      <c r="P72" s="64"/>
    </row>
    <row r="73" spans="1:16" s="63" customFormat="1" ht="18.75">
      <c r="A73" s="70"/>
      <c r="B73" s="76" t="s">
        <v>117</v>
      </c>
      <c r="C73" s="30" t="s">
        <v>42</v>
      </c>
      <c r="D73" s="71">
        <v>635</v>
      </c>
      <c r="E73" s="71">
        <v>600</v>
      </c>
      <c r="F73" s="71">
        <v>616</v>
      </c>
      <c r="G73" s="33">
        <f t="shared" si="30"/>
        <v>102.66666666666666</v>
      </c>
      <c r="H73" s="157">
        <v>17666.207999999999</v>
      </c>
      <c r="I73" s="157">
        <v>16571.4712</v>
      </c>
      <c r="J73" s="157">
        <v>15280.09225</v>
      </c>
      <c r="K73" s="158">
        <f t="shared" si="29"/>
        <v>92.207216037644258</v>
      </c>
      <c r="L73" s="40"/>
    </row>
    <row r="74" spans="1:16" s="62" customFormat="1" ht="18.75">
      <c r="A74" s="70"/>
      <c r="B74" s="76" t="s">
        <v>118</v>
      </c>
      <c r="C74" s="30" t="s">
        <v>42</v>
      </c>
      <c r="D74" s="71">
        <v>96</v>
      </c>
      <c r="E74" s="71">
        <v>97</v>
      </c>
      <c r="F74" s="71">
        <v>96</v>
      </c>
      <c r="G74" s="33">
        <f t="shared" si="30"/>
        <v>98.969072164948457</v>
      </c>
      <c r="H74" s="157">
        <v>2670.7968000000001</v>
      </c>
      <c r="I74" s="157">
        <v>2679.0623999999998</v>
      </c>
      <c r="J74" s="157">
        <v>2377.9202599999999</v>
      </c>
      <c r="K74" s="158">
        <f t="shared" si="29"/>
        <v>88.759420459934049</v>
      </c>
      <c r="L74" s="68"/>
    </row>
    <row r="75" spans="1:16" s="63" customFormat="1" ht="18.75">
      <c r="A75" s="137" t="s">
        <v>85</v>
      </c>
      <c r="B75" s="138" t="s">
        <v>52</v>
      </c>
      <c r="C75" s="139" t="s">
        <v>42</v>
      </c>
      <c r="D75" s="140">
        <f>D77+D78</f>
        <v>88</v>
      </c>
      <c r="E75" s="140">
        <v>89</v>
      </c>
      <c r="F75" s="140">
        <v>80</v>
      </c>
      <c r="G75" s="141">
        <f t="shared" si="30"/>
        <v>89.887640449438194</v>
      </c>
      <c r="H75" s="163">
        <f>H76+H77+H78</f>
        <v>2486.5279999999998</v>
      </c>
      <c r="I75" s="163">
        <f>I76+I77+I78</f>
        <v>1728.914</v>
      </c>
      <c r="J75" s="163">
        <f>J76+J77+J78</f>
        <v>1641.8502000000001</v>
      </c>
      <c r="K75" s="162">
        <f t="shared" si="29"/>
        <v>94.964249233912156</v>
      </c>
      <c r="L75" s="40"/>
    </row>
    <row r="76" spans="1:16" s="63" customFormat="1" ht="18.75">
      <c r="A76" s="70"/>
      <c r="B76" s="76" t="s">
        <v>116</v>
      </c>
      <c r="C76" s="30" t="s">
        <v>42</v>
      </c>
      <c r="D76" s="71">
        <v>0</v>
      </c>
      <c r="E76" s="71">
        <v>0</v>
      </c>
      <c r="F76" s="71">
        <v>0</v>
      </c>
      <c r="G76" s="33">
        <v>0</v>
      </c>
      <c r="H76" s="159"/>
      <c r="I76" s="157">
        <v>0</v>
      </c>
      <c r="J76" s="157">
        <v>0</v>
      </c>
      <c r="K76" s="158">
        <v>0</v>
      </c>
      <c r="L76" s="40"/>
    </row>
    <row r="77" spans="1:16" s="62" customFormat="1" ht="18.75">
      <c r="A77" s="70"/>
      <c r="B77" s="76" t="s">
        <v>117</v>
      </c>
      <c r="C77" s="30" t="s">
        <v>42</v>
      </c>
      <c r="D77" s="71">
        <v>78</v>
      </c>
      <c r="E77" s="71">
        <v>77</v>
      </c>
      <c r="F77" s="71">
        <v>68</v>
      </c>
      <c r="G77" s="33">
        <f t="shared" si="30"/>
        <v>88.311688311688314</v>
      </c>
      <c r="H77" s="157">
        <v>2203.9679999999998</v>
      </c>
      <c r="I77" s="157">
        <v>1495.8019999999999</v>
      </c>
      <c r="J77" s="157">
        <v>1415.0958000000001</v>
      </c>
      <c r="K77" s="158">
        <f t="shared" si="29"/>
        <v>94.604486422668259</v>
      </c>
      <c r="L77" s="68"/>
    </row>
    <row r="78" spans="1:16" s="63" customFormat="1" ht="18.75">
      <c r="A78" s="70"/>
      <c r="B78" s="76" t="s">
        <v>118</v>
      </c>
      <c r="C78" s="30" t="s">
        <v>42</v>
      </c>
      <c r="D78" s="71">
        <v>10</v>
      </c>
      <c r="E78" s="71">
        <v>12</v>
      </c>
      <c r="F78" s="71">
        <v>12</v>
      </c>
      <c r="G78" s="33">
        <f t="shared" si="30"/>
        <v>100</v>
      </c>
      <c r="H78" s="157">
        <v>282.56</v>
      </c>
      <c r="I78" s="157">
        <v>233.11199999999999</v>
      </c>
      <c r="J78" s="157">
        <v>226.7544</v>
      </c>
      <c r="K78" s="158">
        <f t="shared" si="29"/>
        <v>97.27272727272728</v>
      </c>
      <c r="L78" s="40"/>
    </row>
    <row r="79" spans="1:16" s="63" customFormat="1" ht="18.75">
      <c r="A79" s="137" t="s">
        <v>86</v>
      </c>
      <c r="B79" s="138" t="s">
        <v>53</v>
      </c>
      <c r="C79" s="139" t="s">
        <v>42</v>
      </c>
      <c r="D79" s="140">
        <f>D80+D81+D82</f>
        <v>3765</v>
      </c>
      <c r="E79" s="140">
        <v>3746</v>
      </c>
      <c r="F79" s="140">
        <v>3724</v>
      </c>
      <c r="G79" s="141">
        <f t="shared" si="30"/>
        <v>99.412706887346502</v>
      </c>
      <c r="H79" s="163">
        <f>H80+H81+H82</f>
        <v>22861.079999999998</v>
      </c>
      <c r="I79" s="163">
        <f>I80+I81+I82</f>
        <v>21416.208000000002</v>
      </c>
      <c r="J79" s="163">
        <f>J80+J81+J82</f>
        <v>19478.799900000002</v>
      </c>
      <c r="K79" s="162">
        <f t="shared" si="29"/>
        <v>90.953542756028511</v>
      </c>
      <c r="L79" s="40"/>
    </row>
    <row r="80" spans="1:16" s="63" customFormat="1" ht="18.75">
      <c r="A80" s="70"/>
      <c r="B80" s="76" t="s">
        <v>116</v>
      </c>
      <c r="C80" s="30" t="s">
        <v>42</v>
      </c>
      <c r="D80" s="71">
        <v>1674</v>
      </c>
      <c r="E80" s="71">
        <v>1625</v>
      </c>
      <c r="F80" s="71">
        <v>1609</v>
      </c>
      <c r="G80" s="33">
        <f t="shared" si="30"/>
        <v>99.015384615384619</v>
      </c>
      <c r="H80" s="157">
        <v>10164.528</v>
      </c>
      <c r="I80" s="157">
        <v>9265.3439999999991</v>
      </c>
      <c r="J80" s="157">
        <v>8406.6205000000009</v>
      </c>
      <c r="K80" s="158">
        <f t="shared" si="29"/>
        <v>90.731876765719676</v>
      </c>
      <c r="L80" s="77"/>
      <c r="M80" s="64"/>
      <c r="N80" s="64"/>
      <c r="O80" s="64"/>
      <c r="P80" s="64"/>
    </row>
    <row r="81" spans="1:16" s="63" customFormat="1" ht="18.75">
      <c r="A81" s="70"/>
      <c r="B81" s="76" t="s">
        <v>117</v>
      </c>
      <c r="C81" s="30" t="s">
        <v>42</v>
      </c>
      <c r="D81" s="71">
        <v>1727</v>
      </c>
      <c r="E81" s="71">
        <v>1757</v>
      </c>
      <c r="F81" s="71">
        <v>1750</v>
      </c>
      <c r="G81" s="33">
        <f t="shared" si="30"/>
        <v>99.601593625498012</v>
      </c>
      <c r="H81" s="157">
        <v>10486.343999999999</v>
      </c>
      <c r="I81" s="157">
        <v>10053.736000000001</v>
      </c>
      <c r="J81" s="157">
        <v>9142.0756000000001</v>
      </c>
      <c r="K81" s="158">
        <f t="shared" si="29"/>
        <v>90.932123143078343</v>
      </c>
      <c r="L81" s="77"/>
      <c r="M81" s="64"/>
      <c r="N81" s="64"/>
      <c r="O81" s="64"/>
      <c r="P81" s="64"/>
    </row>
    <row r="82" spans="1:16" s="63" customFormat="1" ht="18.75">
      <c r="A82" s="70"/>
      <c r="B82" s="76" t="s">
        <v>118</v>
      </c>
      <c r="C82" s="30" t="s">
        <v>42</v>
      </c>
      <c r="D82" s="71">
        <v>364</v>
      </c>
      <c r="E82" s="71">
        <v>364</v>
      </c>
      <c r="F82" s="71">
        <v>365</v>
      </c>
      <c r="G82" s="33">
        <f t="shared" si="30"/>
        <v>100.27472527472527</v>
      </c>
      <c r="H82" s="157">
        <v>2210.2080000000001</v>
      </c>
      <c r="I82" s="157">
        <v>2097.1280000000002</v>
      </c>
      <c r="J82" s="157">
        <v>1930.1038000000001</v>
      </c>
      <c r="K82" s="158">
        <f t="shared" si="29"/>
        <v>92.035574366466903</v>
      </c>
      <c r="L82" s="40"/>
    </row>
    <row r="83" spans="1:16" s="65" customFormat="1" ht="18.75">
      <c r="A83" s="75" t="s">
        <v>36</v>
      </c>
      <c r="B83" s="26" t="s">
        <v>54</v>
      </c>
      <c r="C83" s="31" t="s">
        <v>55</v>
      </c>
      <c r="D83" s="27">
        <f>D84</f>
        <v>10</v>
      </c>
      <c r="E83" s="27">
        <v>10</v>
      </c>
      <c r="F83" s="27">
        <v>10</v>
      </c>
      <c r="G83" s="32">
        <f t="shared" si="30"/>
        <v>100</v>
      </c>
      <c r="H83" s="164">
        <f>H84</f>
        <v>200</v>
      </c>
      <c r="I83" s="164">
        <f>I84</f>
        <v>200</v>
      </c>
      <c r="J83" s="164">
        <f>J84</f>
        <v>200</v>
      </c>
      <c r="K83" s="156">
        <f t="shared" si="29"/>
        <v>100</v>
      </c>
      <c r="L83" s="46"/>
    </row>
    <row r="84" spans="1:16" s="66" customFormat="1" ht="18.75">
      <c r="A84" s="70" t="s">
        <v>119</v>
      </c>
      <c r="B84" s="29" t="s">
        <v>157</v>
      </c>
      <c r="C84" s="30" t="s">
        <v>55</v>
      </c>
      <c r="D84" s="71">
        <v>10</v>
      </c>
      <c r="E84" s="71">
        <v>10</v>
      </c>
      <c r="F84" s="71">
        <v>10</v>
      </c>
      <c r="G84" s="33">
        <f t="shared" si="30"/>
        <v>100</v>
      </c>
      <c r="H84" s="165">
        <v>200</v>
      </c>
      <c r="I84" s="165">
        <v>200</v>
      </c>
      <c r="J84" s="165">
        <v>200</v>
      </c>
      <c r="K84" s="158">
        <f t="shared" si="29"/>
        <v>100</v>
      </c>
      <c r="L84" s="79"/>
    </row>
    <row r="85" spans="1:16" s="66" customFormat="1" ht="18.75">
      <c r="A85" s="75" t="s">
        <v>40</v>
      </c>
      <c r="B85" s="26" t="s">
        <v>8</v>
      </c>
      <c r="C85" s="31" t="s">
        <v>6</v>
      </c>
      <c r="D85" s="27">
        <f>D86</f>
        <v>5827</v>
      </c>
      <c r="E85" s="27">
        <v>5827</v>
      </c>
      <c r="F85" s="27">
        <v>5827</v>
      </c>
      <c r="G85" s="84">
        <f t="shared" si="30"/>
        <v>100</v>
      </c>
      <c r="H85" s="47">
        <f>H86</f>
        <v>6788.1</v>
      </c>
      <c r="I85" s="47">
        <f>I86</f>
        <v>8243.9</v>
      </c>
      <c r="J85" s="47">
        <f>J86</f>
        <v>8243.9</v>
      </c>
      <c r="K85" s="166">
        <f t="shared" si="29"/>
        <v>100</v>
      </c>
      <c r="L85" s="79"/>
    </row>
    <row r="86" spans="1:16" s="65" customFormat="1" ht="18.75">
      <c r="A86" s="70" t="s">
        <v>120</v>
      </c>
      <c r="B86" s="29" t="s">
        <v>47</v>
      </c>
      <c r="C86" s="30" t="s">
        <v>6</v>
      </c>
      <c r="D86" s="71">
        <v>5827</v>
      </c>
      <c r="E86" s="71">
        <v>5827</v>
      </c>
      <c r="F86" s="71">
        <v>5827</v>
      </c>
      <c r="G86" s="33">
        <f t="shared" si="30"/>
        <v>100</v>
      </c>
      <c r="H86" s="165">
        <v>6788.1</v>
      </c>
      <c r="I86" s="49">
        <v>8243.9</v>
      </c>
      <c r="J86" s="49">
        <v>8243.9</v>
      </c>
      <c r="K86" s="158">
        <f t="shared" si="29"/>
        <v>100</v>
      </c>
      <c r="L86" s="46"/>
    </row>
    <row r="87" spans="1:16" s="61" customFormat="1" ht="18.75">
      <c r="A87" s="173"/>
      <c r="B87" s="173" t="s">
        <v>107</v>
      </c>
      <c r="C87" s="174"/>
      <c r="D87" s="146">
        <f>D88+D91</f>
        <v>5590</v>
      </c>
      <c r="E87" s="146">
        <f>E88+E91</f>
        <v>5590</v>
      </c>
      <c r="F87" s="146">
        <f>F88+F91</f>
        <v>5594</v>
      </c>
      <c r="G87" s="154">
        <f>F87/E87*100</f>
        <v>100.07155635062612</v>
      </c>
      <c r="H87" s="175">
        <f>H88+H91</f>
        <v>545256.70000000007</v>
      </c>
      <c r="I87" s="176">
        <f t="shared" ref="I87:J87" si="35">I88+I91</f>
        <v>590126.63500000013</v>
      </c>
      <c r="J87" s="176">
        <f t="shared" si="35"/>
        <v>590126.63500000013</v>
      </c>
      <c r="K87" s="175">
        <f>J87/I87*100</f>
        <v>100</v>
      </c>
      <c r="L87" s="7"/>
    </row>
    <row r="88" spans="1:16" s="61" customFormat="1" ht="18.75">
      <c r="A88" s="69" t="s">
        <v>5</v>
      </c>
      <c r="B88" s="26" t="s">
        <v>60</v>
      </c>
      <c r="C88" s="31" t="s">
        <v>88</v>
      </c>
      <c r="D88" s="41">
        <f>SUM(D89:D90)</f>
        <v>2795</v>
      </c>
      <c r="E88" s="41">
        <v>2795</v>
      </c>
      <c r="F88" s="41">
        <v>2797</v>
      </c>
      <c r="G88" s="32">
        <f>F88/E88*100</f>
        <v>100.07155635062612</v>
      </c>
      <c r="H88" s="167">
        <f>SUM(H89:H90)</f>
        <v>8316.7999999999993</v>
      </c>
      <c r="I88" s="167">
        <f>SUM(I89:I90)</f>
        <v>8110.64</v>
      </c>
      <c r="J88" s="167">
        <f>SUM(J89:J90)</f>
        <v>8110.64</v>
      </c>
      <c r="K88" s="168">
        <f>J88/I88*100</f>
        <v>100</v>
      </c>
      <c r="L88" s="7"/>
    </row>
    <row r="89" spans="1:16" s="61" customFormat="1" ht="18.75">
      <c r="A89" s="70" t="s">
        <v>43</v>
      </c>
      <c r="B89" s="29" t="s">
        <v>61</v>
      </c>
      <c r="C89" s="30" t="s">
        <v>88</v>
      </c>
      <c r="D89" s="157">
        <v>2770</v>
      </c>
      <c r="E89" s="157">
        <v>2771</v>
      </c>
      <c r="F89" s="157">
        <v>2773</v>
      </c>
      <c r="G89" s="33">
        <f t="shared" ref="G89:G91" si="36">F89/E89*100</f>
        <v>100.07217610970768</v>
      </c>
      <c r="H89" s="169">
        <v>7514.8329999999996</v>
      </c>
      <c r="I89" s="169">
        <v>7341.5050000000001</v>
      </c>
      <c r="J89" s="169">
        <v>7341.5050000000001</v>
      </c>
      <c r="K89" s="170">
        <f t="shared" ref="K89:K91" si="37">J89/I89*100</f>
        <v>100</v>
      </c>
      <c r="L89" s="7"/>
    </row>
    <row r="90" spans="1:16" s="61" customFormat="1" ht="18.75">
      <c r="A90" s="70" t="s">
        <v>44</v>
      </c>
      <c r="B90" s="29" t="s">
        <v>70</v>
      </c>
      <c r="C90" s="30" t="s">
        <v>88</v>
      </c>
      <c r="D90" s="157">
        <v>25</v>
      </c>
      <c r="E90" s="157">
        <v>24</v>
      </c>
      <c r="F90" s="157">
        <v>24</v>
      </c>
      <c r="G90" s="33">
        <f t="shared" si="36"/>
        <v>100</v>
      </c>
      <c r="H90" s="169">
        <v>801.96699999999998</v>
      </c>
      <c r="I90" s="169">
        <v>769.13499999999999</v>
      </c>
      <c r="J90" s="169">
        <v>769.13499999999999</v>
      </c>
      <c r="K90" s="170">
        <f t="shared" si="37"/>
        <v>100</v>
      </c>
      <c r="L90" s="7"/>
    </row>
    <row r="91" spans="1:16" s="61" customFormat="1" ht="18.75">
      <c r="A91" s="69" t="s">
        <v>62</v>
      </c>
      <c r="B91" s="26" t="s">
        <v>63</v>
      </c>
      <c r="C91" s="31" t="s">
        <v>42</v>
      </c>
      <c r="D91" s="41">
        <f>SUM(D92:D95)</f>
        <v>2795</v>
      </c>
      <c r="E91" s="41">
        <v>2795</v>
      </c>
      <c r="F91" s="41">
        <v>2797</v>
      </c>
      <c r="G91" s="32">
        <f t="shared" si="36"/>
        <v>100.07155635062612</v>
      </c>
      <c r="H91" s="167">
        <f>SUM(H92:H95)</f>
        <v>536939.9</v>
      </c>
      <c r="I91" s="167">
        <f>SUM(I92:I95)</f>
        <v>582015.99500000011</v>
      </c>
      <c r="J91" s="167">
        <f>SUM(J92:J95)</f>
        <v>582015.99500000011</v>
      </c>
      <c r="K91" s="168">
        <f t="shared" si="37"/>
        <v>100</v>
      </c>
      <c r="L91" s="7"/>
    </row>
    <row r="92" spans="1:16" s="61" customFormat="1" ht="18.75">
      <c r="A92" s="70" t="s">
        <v>64</v>
      </c>
      <c r="B92" s="29" t="s">
        <v>65</v>
      </c>
      <c r="C92" s="30" t="s">
        <v>42</v>
      </c>
      <c r="D92" s="157">
        <v>341</v>
      </c>
      <c r="E92" s="157">
        <v>426</v>
      </c>
      <c r="F92" s="157">
        <v>427</v>
      </c>
      <c r="G92" s="33">
        <f>F92/E92*100</f>
        <v>100.23474178403755</v>
      </c>
      <c r="H92" s="169">
        <f>61862.517+474.2</f>
        <v>62336.716999999997</v>
      </c>
      <c r="I92" s="169">
        <v>93423.921000000002</v>
      </c>
      <c r="J92" s="169">
        <v>93423.921000000002</v>
      </c>
      <c r="K92" s="170">
        <f>J92/I92*100</f>
        <v>100</v>
      </c>
      <c r="L92" s="7"/>
    </row>
    <row r="93" spans="1:16" s="61" customFormat="1" ht="18.75">
      <c r="A93" s="70" t="s">
        <v>66</v>
      </c>
      <c r="B93" s="29" t="s">
        <v>67</v>
      </c>
      <c r="C93" s="30" t="s">
        <v>42</v>
      </c>
      <c r="D93" s="157">
        <v>2264</v>
      </c>
      <c r="E93" s="157">
        <v>2179</v>
      </c>
      <c r="F93" s="157">
        <v>2180</v>
      </c>
      <c r="G93" s="33">
        <f>F93/E93*100</f>
        <v>100.04589261128957</v>
      </c>
      <c r="H93" s="169">
        <f>391580.583+3148.38</f>
        <v>394728.96299999999</v>
      </c>
      <c r="I93" s="169">
        <v>397668.66600000003</v>
      </c>
      <c r="J93" s="169">
        <v>397668.66600000003</v>
      </c>
      <c r="K93" s="170">
        <f>J93/I93*100</f>
        <v>100</v>
      </c>
      <c r="L93" s="7"/>
    </row>
    <row r="94" spans="1:16" s="61" customFormat="1" ht="30.75">
      <c r="A94" s="70" t="s">
        <v>69</v>
      </c>
      <c r="B94" s="29" t="s">
        <v>122</v>
      </c>
      <c r="C94" s="30" t="s">
        <v>42</v>
      </c>
      <c r="D94" s="157"/>
      <c r="E94" s="157"/>
      <c r="F94" s="157"/>
      <c r="G94" s="33"/>
      <c r="H94" s="169"/>
      <c r="I94" s="169"/>
      <c r="J94" s="169"/>
      <c r="K94" s="170"/>
      <c r="L94" s="7"/>
    </row>
    <row r="95" spans="1:16" s="61" customFormat="1" ht="30.75">
      <c r="A95" s="70" t="s">
        <v>123</v>
      </c>
      <c r="B95" s="29" t="s">
        <v>68</v>
      </c>
      <c r="C95" s="30" t="s">
        <v>42</v>
      </c>
      <c r="D95" s="157">
        <v>190</v>
      </c>
      <c r="E95" s="157">
        <v>190</v>
      </c>
      <c r="F95" s="157">
        <v>190</v>
      </c>
      <c r="G95" s="33">
        <f t="shared" ref="G95" si="38">F95/E95*100</f>
        <v>100</v>
      </c>
      <c r="H95" s="169">
        <f>79610+264.22</f>
        <v>79874.22</v>
      </c>
      <c r="I95" s="169">
        <v>90923.407999999996</v>
      </c>
      <c r="J95" s="169">
        <v>90923.407999999996</v>
      </c>
      <c r="K95" s="170">
        <f t="shared" ref="K95" si="39">J95/I95*100</f>
        <v>100</v>
      </c>
      <c r="L95" s="7"/>
    </row>
    <row r="96" spans="1:16" s="61" customFormat="1" ht="18.75">
      <c r="A96" s="118"/>
      <c r="B96" s="119" t="s">
        <v>124</v>
      </c>
      <c r="C96" s="174"/>
      <c r="D96" s="176">
        <f>D97+D98+D99+D100+D101+D102</f>
        <v>3079</v>
      </c>
      <c r="E96" s="176">
        <f>E97+E98+E99+E100+E101+E102</f>
        <v>3060</v>
      </c>
      <c r="F96" s="176">
        <f>F97+F98+F99+F100+F101+F102</f>
        <v>3060</v>
      </c>
      <c r="G96" s="154">
        <f>F96/E96*100</f>
        <v>100</v>
      </c>
      <c r="H96" s="175">
        <f>SUM(H97:H102)+240.9+32034</f>
        <v>69934.100000000006</v>
      </c>
      <c r="I96" s="176">
        <f t="shared" ref="I96:J96" si="40">SUM(I97:I102)</f>
        <v>44644.435000000005</v>
      </c>
      <c r="J96" s="176">
        <f t="shared" si="40"/>
        <v>44628.192000000003</v>
      </c>
      <c r="K96" s="154">
        <f>J96/I96*100</f>
        <v>99.963616965921958</v>
      </c>
      <c r="L96" s="7"/>
    </row>
    <row r="97" spans="1:12" s="92" customFormat="1" ht="18.75">
      <c r="A97" s="25" t="s">
        <v>5</v>
      </c>
      <c r="B97" s="26" t="s">
        <v>89</v>
      </c>
      <c r="C97" s="37" t="s">
        <v>13</v>
      </c>
      <c r="D97" s="52">
        <v>2635</v>
      </c>
      <c r="E97" s="52">
        <v>2636</v>
      </c>
      <c r="F97" s="52">
        <v>2636</v>
      </c>
      <c r="G97" s="32">
        <f t="shared" ref="G97" si="41">F97/E97*100</f>
        <v>100</v>
      </c>
      <c r="H97" s="168">
        <f>9068.9</f>
        <v>9068.9</v>
      </c>
      <c r="I97" s="167">
        <f>10904.353+16.243</f>
        <v>10920.596</v>
      </c>
      <c r="J97" s="167">
        <v>10904.352999999999</v>
      </c>
      <c r="K97" s="32">
        <f t="shared" ref="K97" si="42">J97/I97*100</f>
        <v>99.851262696651361</v>
      </c>
      <c r="L97" s="20"/>
    </row>
    <row r="98" spans="1:12" s="92" customFormat="1" ht="30">
      <c r="A98" s="25" t="s">
        <v>7</v>
      </c>
      <c r="B98" s="26" t="s">
        <v>125</v>
      </c>
      <c r="C98" s="37" t="s">
        <v>13</v>
      </c>
      <c r="D98" s="52">
        <v>20</v>
      </c>
      <c r="E98" s="52">
        <v>0</v>
      </c>
      <c r="F98" s="52">
        <v>0</v>
      </c>
      <c r="G98" s="32"/>
      <c r="H98" s="168">
        <v>188.9</v>
      </c>
      <c r="I98" s="167"/>
      <c r="J98" s="167"/>
      <c r="K98" s="32"/>
      <c r="L98" s="20"/>
    </row>
    <row r="99" spans="1:12" s="92" customFormat="1" ht="28.5">
      <c r="A99" s="25" t="s">
        <v>11</v>
      </c>
      <c r="B99" s="26" t="s">
        <v>72</v>
      </c>
      <c r="C99" s="53" t="s">
        <v>126</v>
      </c>
      <c r="D99" s="52">
        <v>96</v>
      </c>
      <c r="E99" s="52">
        <v>96</v>
      </c>
      <c r="F99" s="52">
        <v>96</v>
      </c>
      <c r="G99" s="32">
        <f t="shared" ref="G99:G102" si="43">F99/E99*100</f>
        <v>100</v>
      </c>
      <c r="H99" s="168">
        <v>11396.7</v>
      </c>
      <c r="I99" s="167">
        <v>12502.989</v>
      </c>
      <c r="J99" s="167">
        <v>12502.989</v>
      </c>
      <c r="K99" s="32">
        <f t="shared" ref="K99:K102" si="44">J99/I99*100</f>
        <v>100</v>
      </c>
      <c r="L99" s="20"/>
    </row>
    <row r="100" spans="1:12" s="92" customFormat="1" ht="57.6" customHeight="1">
      <c r="A100" s="25" t="s">
        <v>33</v>
      </c>
      <c r="B100" s="172" t="s">
        <v>127</v>
      </c>
      <c r="C100" s="37" t="s">
        <v>13</v>
      </c>
      <c r="D100" s="52">
        <v>324</v>
      </c>
      <c r="E100" s="52">
        <v>324</v>
      </c>
      <c r="F100" s="52">
        <v>324</v>
      </c>
      <c r="G100" s="32">
        <f t="shared" si="43"/>
        <v>100</v>
      </c>
      <c r="H100" s="168">
        <v>15095.1</v>
      </c>
      <c r="I100" s="167">
        <v>19264.469000000001</v>
      </c>
      <c r="J100" s="167">
        <v>19264.469000000001</v>
      </c>
      <c r="K100" s="32">
        <f t="shared" si="44"/>
        <v>100</v>
      </c>
      <c r="L100" s="20"/>
    </row>
    <row r="101" spans="1:12" s="92" customFormat="1" ht="44.25">
      <c r="A101" s="25" t="s">
        <v>36</v>
      </c>
      <c r="B101" s="172" t="s">
        <v>128</v>
      </c>
      <c r="C101" s="53" t="s">
        <v>129</v>
      </c>
      <c r="D101" s="52">
        <v>2</v>
      </c>
      <c r="E101" s="52">
        <v>2</v>
      </c>
      <c r="F101" s="52">
        <v>2</v>
      </c>
      <c r="G101" s="32">
        <f t="shared" si="43"/>
        <v>100</v>
      </c>
      <c r="H101" s="168">
        <v>1054</v>
      </c>
      <c r="I101" s="167">
        <v>1077.415</v>
      </c>
      <c r="J101" s="167">
        <v>1077.415</v>
      </c>
      <c r="K101" s="32">
        <f t="shared" si="44"/>
        <v>100</v>
      </c>
      <c r="L101" s="20"/>
    </row>
    <row r="102" spans="1:12" s="92" customFormat="1" ht="58.15" customHeight="1">
      <c r="A102" s="25" t="s">
        <v>40</v>
      </c>
      <c r="B102" s="172" t="s">
        <v>130</v>
      </c>
      <c r="C102" s="53" t="s">
        <v>129</v>
      </c>
      <c r="D102" s="52">
        <v>2</v>
      </c>
      <c r="E102" s="52">
        <v>2</v>
      </c>
      <c r="F102" s="52">
        <v>2</v>
      </c>
      <c r="G102" s="32">
        <f t="shared" si="43"/>
        <v>100</v>
      </c>
      <c r="H102" s="168">
        <v>855.6</v>
      </c>
      <c r="I102" s="167">
        <v>878.96600000000001</v>
      </c>
      <c r="J102" s="167">
        <v>878.96600000000001</v>
      </c>
      <c r="K102" s="32">
        <f t="shared" si="44"/>
        <v>100</v>
      </c>
      <c r="L102" s="20"/>
    </row>
    <row r="103" spans="1:12" s="61" customFormat="1" ht="18.75">
      <c r="A103" s="118"/>
      <c r="B103" s="119" t="s">
        <v>91</v>
      </c>
      <c r="C103" s="174"/>
      <c r="D103" s="176">
        <f>D104+D105+D106+D107+D108+D109</f>
        <v>666</v>
      </c>
      <c r="E103" s="176">
        <f>E104+E105+E106+E107+E108+E109</f>
        <v>666</v>
      </c>
      <c r="F103" s="176">
        <f>F104+F105+F106+F107+F108+F109</f>
        <v>688</v>
      </c>
      <c r="G103" s="154">
        <f>F103/E103*100</f>
        <v>103.30330330330331</v>
      </c>
      <c r="H103" s="176">
        <f>SUM(H104:H109)</f>
        <v>27830.289999999997</v>
      </c>
      <c r="I103" s="176">
        <f t="shared" ref="I103:J103" si="45">SUM(I104:I109)</f>
        <v>27875.731</v>
      </c>
      <c r="J103" s="176">
        <f t="shared" si="45"/>
        <v>27854.905999999999</v>
      </c>
      <c r="K103" s="154">
        <f>J103/I103*100</f>
        <v>99.925293438941566</v>
      </c>
      <c r="L103" s="7"/>
    </row>
    <row r="104" spans="1:12" s="61" customFormat="1" ht="30">
      <c r="A104" s="25" t="s">
        <v>5</v>
      </c>
      <c r="B104" s="26" t="s">
        <v>131</v>
      </c>
      <c r="C104" s="37" t="s">
        <v>13</v>
      </c>
      <c r="D104" s="52">
        <v>269</v>
      </c>
      <c r="E104" s="52">
        <v>269</v>
      </c>
      <c r="F104" s="52">
        <v>291</v>
      </c>
      <c r="G104" s="32">
        <f>F104/E104*100</f>
        <v>108.17843866171005</v>
      </c>
      <c r="H104" s="167">
        <v>11636.963</v>
      </c>
      <c r="I104" s="167">
        <v>11654.536</v>
      </c>
      <c r="J104" s="167">
        <f>11654.536-20.825</f>
        <v>11633.710999999999</v>
      </c>
      <c r="K104" s="32">
        <f>J104/I104*100</f>
        <v>99.821314207618386</v>
      </c>
      <c r="L104" s="7"/>
    </row>
    <row r="105" spans="1:12" s="61" customFormat="1" ht="30">
      <c r="A105" s="25" t="s">
        <v>7</v>
      </c>
      <c r="B105" s="26" t="s">
        <v>93</v>
      </c>
      <c r="C105" s="53" t="s">
        <v>129</v>
      </c>
      <c r="D105" s="52">
        <v>22</v>
      </c>
      <c r="E105" s="52">
        <v>22</v>
      </c>
      <c r="F105" s="52">
        <v>22</v>
      </c>
      <c r="G105" s="32">
        <f>F105/E105*100</f>
        <v>100</v>
      </c>
      <c r="H105" s="167">
        <v>2132.4780000000001</v>
      </c>
      <c r="I105" s="167">
        <v>2138.0509999999999</v>
      </c>
      <c r="J105" s="167">
        <v>2138.0509999999999</v>
      </c>
      <c r="K105" s="32">
        <f>J105/I105*100</f>
        <v>100</v>
      </c>
      <c r="L105" s="7"/>
    </row>
    <row r="106" spans="1:12" s="61" customFormat="1" ht="18.75">
      <c r="A106" s="25" t="s">
        <v>11</v>
      </c>
      <c r="B106" s="36" t="s">
        <v>132</v>
      </c>
      <c r="C106" s="53" t="s">
        <v>90</v>
      </c>
      <c r="D106" s="52">
        <v>8</v>
      </c>
      <c r="E106" s="52">
        <v>8</v>
      </c>
      <c r="F106" s="52">
        <v>8</v>
      </c>
      <c r="G106" s="32">
        <f t="shared" ref="G106" si="46">F106/E106*100</f>
        <v>100</v>
      </c>
      <c r="H106" s="167">
        <v>2807.873</v>
      </c>
      <c r="I106" s="167">
        <v>2813.4459999999999</v>
      </c>
      <c r="J106" s="167">
        <v>2813.4459999999999</v>
      </c>
      <c r="K106" s="32">
        <f t="shared" ref="K106" si="47">J106/I106*100</f>
        <v>100</v>
      </c>
      <c r="L106" s="7"/>
    </row>
    <row r="107" spans="1:12" s="61" customFormat="1" ht="18.75">
      <c r="A107" s="25" t="s">
        <v>33</v>
      </c>
      <c r="B107" s="36" t="s">
        <v>133</v>
      </c>
      <c r="C107" s="53" t="s">
        <v>134</v>
      </c>
      <c r="D107" s="52">
        <v>80</v>
      </c>
      <c r="E107" s="52">
        <v>80</v>
      </c>
      <c r="F107" s="52">
        <v>80</v>
      </c>
      <c r="G107" s="32">
        <f>F107/E107*100</f>
        <v>100</v>
      </c>
      <c r="H107" s="167">
        <v>2368.7260000000001</v>
      </c>
      <c r="I107" s="167">
        <v>2374.3000000000002</v>
      </c>
      <c r="J107" s="167">
        <v>2374.3000000000002</v>
      </c>
      <c r="K107" s="32">
        <f>J107/I107*100</f>
        <v>100</v>
      </c>
      <c r="L107" s="7"/>
    </row>
    <row r="108" spans="1:12" s="61" customFormat="1" ht="41.45" customHeight="1">
      <c r="A108" s="25" t="s">
        <v>36</v>
      </c>
      <c r="B108" s="36" t="s">
        <v>135</v>
      </c>
      <c r="C108" s="53" t="s">
        <v>134</v>
      </c>
      <c r="D108" s="52">
        <v>200</v>
      </c>
      <c r="E108" s="52">
        <v>200</v>
      </c>
      <c r="F108" s="52">
        <v>200</v>
      </c>
      <c r="G108" s="32">
        <f>F108/E108*100</f>
        <v>100</v>
      </c>
      <c r="H108" s="167">
        <f>2294.436+1469.39</f>
        <v>3763.826</v>
      </c>
      <c r="I108" s="167">
        <v>3769.4</v>
      </c>
      <c r="J108" s="167">
        <v>3769.4</v>
      </c>
      <c r="K108" s="32">
        <f>J108/I108*100</f>
        <v>100</v>
      </c>
      <c r="L108" s="7"/>
    </row>
    <row r="109" spans="1:12" s="61" customFormat="1" ht="29.45" customHeight="1">
      <c r="A109" s="25" t="s">
        <v>40</v>
      </c>
      <c r="B109" s="36" t="s">
        <v>136</v>
      </c>
      <c r="C109" s="53" t="s">
        <v>164</v>
      </c>
      <c r="D109" s="52">
        <v>87</v>
      </c>
      <c r="E109" s="52">
        <v>87</v>
      </c>
      <c r="F109" s="52">
        <v>87</v>
      </c>
      <c r="G109" s="32">
        <f>F109/E109*100</f>
        <v>100</v>
      </c>
      <c r="H109" s="167">
        <v>5120.424</v>
      </c>
      <c r="I109" s="167">
        <v>5125.9979999999996</v>
      </c>
      <c r="J109" s="167">
        <v>5125.9979999999996</v>
      </c>
      <c r="K109" s="32">
        <f>J109/I109*100</f>
        <v>100</v>
      </c>
      <c r="L109" s="7"/>
    </row>
    <row r="110" spans="1:12" s="61" customFormat="1" ht="19.899999999999999" customHeight="1">
      <c r="A110" s="110" t="s">
        <v>84</v>
      </c>
      <c r="B110" s="111" t="s">
        <v>103</v>
      </c>
      <c r="C110" s="112"/>
      <c r="D110" s="113"/>
      <c r="E110" s="114"/>
      <c r="F110" s="114"/>
      <c r="G110" s="145">
        <v>0</v>
      </c>
      <c r="H110" s="181">
        <f>H111</f>
        <v>2954</v>
      </c>
      <c r="I110" s="171">
        <v>0</v>
      </c>
      <c r="J110" s="171">
        <v>0</v>
      </c>
      <c r="K110" s="145">
        <v>0</v>
      </c>
      <c r="L110" s="7"/>
    </row>
    <row r="111" spans="1:12" s="61" customFormat="1" ht="18.75">
      <c r="A111" s="177"/>
      <c r="B111" s="119" t="s">
        <v>163</v>
      </c>
      <c r="C111" s="125"/>
      <c r="D111" s="178"/>
      <c r="E111" s="179"/>
      <c r="F111" s="179"/>
      <c r="G111" s="143">
        <v>0</v>
      </c>
      <c r="H111" s="146">
        <v>2954</v>
      </c>
      <c r="I111" s="180">
        <v>0</v>
      </c>
      <c r="J111" s="180">
        <v>0</v>
      </c>
      <c r="K111" s="143">
        <v>0</v>
      </c>
      <c r="L111" s="7"/>
    </row>
    <row r="112" spans="1:12" ht="21" customHeight="1">
      <c r="A112" s="93"/>
      <c r="B112" s="115" t="s">
        <v>108</v>
      </c>
      <c r="C112" s="116"/>
      <c r="D112" s="117">
        <f>D44+D41+D38+D23+D7</f>
        <v>887435</v>
      </c>
      <c r="E112" s="117">
        <f>E44+E41+E38+E23+E7</f>
        <v>1002060</v>
      </c>
      <c r="F112" s="117">
        <f>F44+F41+F38+F23+F7</f>
        <v>1018561</v>
      </c>
      <c r="G112" s="135">
        <f>F112/E112*100</f>
        <v>101.64670778196914</v>
      </c>
      <c r="H112" s="117">
        <f>H44+H41+H38+H23+H7+H110</f>
        <v>1698100.1913000001</v>
      </c>
      <c r="I112" s="117">
        <f>I44+I41+I38+I23+I7</f>
        <v>1722162.9670000002</v>
      </c>
      <c r="J112" s="117">
        <f>J44+J41+J38+J23+J7</f>
        <v>1712138.0067600003</v>
      </c>
      <c r="K112" s="145">
        <f>J112/I112*100</f>
        <v>99.417885506070121</v>
      </c>
      <c r="L112" s="12"/>
    </row>
    <row r="113" spans="1:12">
      <c r="A113" s="80"/>
      <c r="B113" s="12"/>
      <c r="E113" s="24"/>
      <c r="F113" s="24"/>
      <c r="G113" s="85"/>
      <c r="H113" s="24"/>
      <c r="I113" s="24"/>
      <c r="J113" s="24"/>
      <c r="K113" s="24"/>
      <c r="L113" s="12"/>
    </row>
  </sheetData>
  <mergeCells count="7">
    <mergeCell ref="A28:A29"/>
    <mergeCell ref="B28:B29"/>
    <mergeCell ref="A1:K2"/>
    <mergeCell ref="A4:A5"/>
    <mergeCell ref="B4:B5"/>
    <mergeCell ref="C4:G4"/>
    <mergeCell ref="H4:K4"/>
  </mergeCells>
  <pageMargins left="0.39370078740157483" right="0.19685039370078741" top="0.35433070866141736" bottom="0.35433070866141736" header="0.31496062992125984" footer="0.31496062992125984"/>
  <pageSetup paperSize="9" scale="57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МЗ - 2018 </vt:lpstr>
      <vt:lpstr>'МЗ - 2018 '!Заголовки_для_печати</vt:lpstr>
      <vt:lpstr>'МЗ - 2018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Лариса Васильевна Зорина</cp:lastModifiedBy>
  <cp:lastPrinted>2019-03-27T11:38:01Z</cp:lastPrinted>
  <dcterms:created xsi:type="dcterms:W3CDTF">2016-11-01T06:46:25Z</dcterms:created>
  <dcterms:modified xsi:type="dcterms:W3CDTF">2019-04-03T04:52:29Z</dcterms:modified>
</cp:coreProperties>
</file>